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11070" activeTab="4"/>
  </bookViews>
  <sheets>
    <sheet name="HME 80 W" sheetId="1" r:id="rId1"/>
    <sheet name="CPO 45 W" sheetId="2" r:id="rId2"/>
    <sheet name="HST 50 W " sheetId="3" r:id="rId3"/>
    <sheet name="LED 34 W" sheetId="4" r:id="rId4"/>
    <sheet name="Zusammenfassung" sheetId="5" r:id="rId5"/>
  </sheets>
  <definedNames/>
  <calcPr fullCalcOnLoad="1"/>
</workbook>
</file>

<file path=xl/sharedStrings.xml><?xml version="1.0" encoding="utf-8"?>
<sst xmlns="http://schemas.openxmlformats.org/spreadsheetml/2006/main" count="230" uniqueCount="63">
  <si>
    <t>Leuchte</t>
  </si>
  <si>
    <t>Kosten Leuchtmittel / LED Modul [€]</t>
  </si>
  <si>
    <t>Kosten Vorschaltgeräte/ Treiber</t>
  </si>
  <si>
    <t>Material</t>
  </si>
  <si>
    <t>Systemleistung [W]</t>
  </si>
  <si>
    <t>Preis pro kWh [€]</t>
  </si>
  <si>
    <t xml:space="preserve">Tätigkeiten </t>
  </si>
  <si>
    <t>An- und Rückfahrt [min]</t>
  </si>
  <si>
    <t>Installations-/ Wartungszyklen</t>
  </si>
  <si>
    <t>Leuchtenreinigung [a]</t>
  </si>
  <si>
    <t>Tätigkeiten BGV A3 [a]</t>
  </si>
  <si>
    <t>Steigerrüstzeit pro Lichtpunkt [min]</t>
  </si>
  <si>
    <t>Tausch Leuchtmittel/ LED Modul [min]</t>
  </si>
  <si>
    <t>Tausch Vorschaltgeräte/ Treiber [min]</t>
  </si>
  <si>
    <t>Leuchtenreinigung [min]</t>
  </si>
  <si>
    <t>Tätigkeiten BGV A3 [min]</t>
  </si>
  <si>
    <t>Lebensdauer der Leuchte [a]</t>
  </si>
  <si>
    <t>Lebensdauer Leuchtmittel / LED Modul  [a]</t>
  </si>
  <si>
    <t>Lebensdauer Vorschaltgeräte/ Treiber  [a]</t>
  </si>
  <si>
    <t>Fahrtkosten / Steigerkosten pro Stunde [€]</t>
  </si>
  <si>
    <t>Personalkosten 2 Mitarbeiter pro Stunde [€]</t>
  </si>
  <si>
    <t>Kostensteigerungen</t>
  </si>
  <si>
    <t>jährliche Steigerung für Personal</t>
  </si>
  <si>
    <t>Anzahl der Lichtpunkte</t>
  </si>
  <si>
    <t>Jahr</t>
  </si>
  <si>
    <t>Leuchtmittel</t>
  </si>
  <si>
    <t>Tätigkeiten nach BGV A3</t>
  </si>
  <si>
    <t>Vorschalt-geräte</t>
  </si>
  <si>
    <t>Tausch des Leucht- mittels</t>
  </si>
  <si>
    <t>Tausch  Vorschalt- geräte</t>
  </si>
  <si>
    <t>Leuchten- reinigung</t>
  </si>
  <si>
    <t>Materialkosten [€]</t>
  </si>
  <si>
    <t>Fahrtkosten [€]</t>
  </si>
  <si>
    <t>Energiekosten [€]</t>
  </si>
  <si>
    <t>jährliche Steigerung für Material</t>
  </si>
  <si>
    <t>jährliche Steigerung für Energie</t>
  </si>
  <si>
    <t>Installation der Leuchte</t>
  </si>
  <si>
    <t>Personalkosten [€]</t>
  </si>
  <si>
    <t>jährliche Steigerung für Fahrtkosten</t>
  </si>
  <si>
    <t>Energie</t>
  </si>
  <si>
    <t xml:space="preserve">Brenndauer 1 [h] pro Jahr bei Leistung   </t>
  </si>
  <si>
    <t xml:space="preserve">Brenndauer 2 [h] pro Jahr bei Leistung </t>
  </si>
  <si>
    <t>Brenndauer 3 [h] pro Jahr bei Leistung</t>
  </si>
  <si>
    <t xml:space="preserve">Brenndauer 4 [h] pro Jahr bei Leistung  </t>
  </si>
  <si>
    <t>Kosten</t>
  </si>
  <si>
    <t>Gesamt [€]</t>
  </si>
  <si>
    <t>Kapitalwert [€]</t>
  </si>
  <si>
    <t>Summe (0 - 24)</t>
  </si>
  <si>
    <t>Energieeffizienzfaktor bei Komponententausch</t>
  </si>
  <si>
    <t>elektrische Arbeit [kWh]</t>
  </si>
  <si>
    <t>Kalkulationszins</t>
  </si>
  <si>
    <t>Energie [kWh]</t>
  </si>
  <si>
    <t>Summe (0 - 11)</t>
  </si>
  <si>
    <t>Betrachtungszeitraum 24 Jahre</t>
  </si>
  <si>
    <t>Betrachtungszeitraum 11 Jahre</t>
  </si>
  <si>
    <t>Kosten der Leuchte/ Komponente [€]</t>
  </si>
  <si>
    <t>Kapitalwert Differenzen [€]</t>
  </si>
  <si>
    <t>Energie  Differenzen [kWh]</t>
  </si>
  <si>
    <t>HME 80 W</t>
  </si>
  <si>
    <t xml:space="preserve">CPO 45 W </t>
  </si>
  <si>
    <t>HST 50 W Doppelbrenner</t>
  </si>
  <si>
    <t>LED 34 W Leuchte</t>
  </si>
  <si>
    <t>Tausch Leuchte/ Einbau Zusatzkomponente [min]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</si>
</sst>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0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0" fillId="33" borderId="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9" fontId="0" fillId="34" borderId="0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0" fontId="0" fillId="33" borderId="14" xfId="0" applyNumberFormat="1" applyFill="1" applyBorder="1" applyAlignment="1">
      <alignment/>
    </xf>
    <xf numFmtId="10" fontId="0" fillId="33" borderId="17" xfId="0" applyNumberForma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3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5" borderId="26" xfId="0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7" xfId="0" applyFill="1" applyBorder="1" applyAlignment="1">
      <alignment wrapText="1"/>
    </xf>
    <xf numFmtId="3" fontId="0" fillId="35" borderId="20" xfId="0" applyNumberFormat="1" applyFill="1" applyBorder="1" applyAlignment="1">
      <alignment/>
    </xf>
    <xf numFmtId="3" fontId="0" fillId="35" borderId="28" xfId="0" applyNumberFormat="1" applyFill="1" applyBorder="1" applyAlignment="1">
      <alignment/>
    </xf>
    <xf numFmtId="3" fontId="0" fillId="35" borderId="22" xfId="0" applyNumberFormat="1" applyFill="1" applyBorder="1" applyAlignment="1">
      <alignment/>
    </xf>
    <xf numFmtId="3" fontId="0" fillId="35" borderId="26" xfId="0" applyNumberFormat="1" applyFill="1" applyBorder="1" applyAlignment="1">
      <alignment/>
    </xf>
    <xf numFmtId="0" fontId="0" fillId="36" borderId="26" xfId="0" applyFill="1" applyBorder="1" applyAlignment="1">
      <alignment wrapText="1"/>
    </xf>
    <xf numFmtId="0" fontId="0" fillId="36" borderId="29" xfId="0" applyFill="1" applyBorder="1" applyAlignment="1">
      <alignment wrapText="1"/>
    </xf>
    <xf numFmtId="3" fontId="0" fillId="36" borderId="28" xfId="0" applyNumberFormat="1" applyFill="1" applyBorder="1" applyAlignment="1">
      <alignment/>
    </xf>
    <xf numFmtId="3" fontId="0" fillId="36" borderId="26" xfId="0" applyNumberFormat="1" applyFill="1" applyBorder="1" applyAlignment="1">
      <alignment/>
    </xf>
    <xf numFmtId="0" fontId="0" fillId="35" borderId="22" xfId="0" applyFill="1" applyBorder="1" applyAlignment="1">
      <alignment wrapText="1"/>
    </xf>
    <xf numFmtId="0" fontId="0" fillId="36" borderId="30" xfId="0" applyFill="1" applyBorder="1" applyAlignment="1">
      <alignment wrapText="1"/>
    </xf>
    <xf numFmtId="0" fontId="0" fillId="36" borderId="15" xfId="0" applyFill="1" applyBorder="1" applyAlignment="1">
      <alignment wrapText="1"/>
    </xf>
    <xf numFmtId="3" fontId="0" fillId="36" borderId="31" xfId="0" applyNumberFormat="1" applyFill="1" applyBorder="1" applyAlignment="1">
      <alignment/>
    </xf>
    <xf numFmtId="3" fontId="0" fillId="36" borderId="30" xfId="0" applyNumberFormat="1" applyFill="1" applyBorder="1" applyAlignment="1">
      <alignment/>
    </xf>
    <xf numFmtId="0" fontId="0" fillId="37" borderId="32" xfId="0" applyFill="1" applyBorder="1" applyAlignment="1">
      <alignment horizontal="center"/>
    </xf>
    <xf numFmtId="3" fontId="0" fillId="37" borderId="33" xfId="0" applyNumberFormat="1" applyFill="1" applyBorder="1" applyAlignment="1">
      <alignment/>
    </xf>
    <xf numFmtId="3" fontId="0" fillId="37" borderId="34" xfId="0" applyNumberFormat="1" applyFill="1" applyBorder="1" applyAlignment="1">
      <alignment/>
    </xf>
    <xf numFmtId="0" fontId="0" fillId="38" borderId="32" xfId="0" applyFill="1" applyBorder="1" applyAlignment="1">
      <alignment horizontal="center"/>
    </xf>
    <xf numFmtId="3" fontId="0" fillId="38" borderId="33" xfId="0" applyNumberFormat="1" applyFill="1" applyBorder="1" applyAlignment="1">
      <alignment/>
    </xf>
    <xf numFmtId="3" fontId="0" fillId="38" borderId="34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2" fillId="0" borderId="0" xfId="0" applyNumberFormat="1" applyFont="1" applyAlignment="1">
      <alignment/>
    </xf>
    <xf numFmtId="0" fontId="0" fillId="36" borderId="35" xfId="0" applyFill="1" applyBorder="1" applyAlignment="1">
      <alignment wrapText="1"/>
    </xf>
    <xf numFmtId="0" fontId="0" fillId="36" borderId="17" xfId="0" applyFill="1" applyBorder="1" applyAlignment="1">
      <alignment wrapText="1"/>
    </xf>
    <xf numFmtId="3" fontId="0" fillId="36" borderId="36" xfId="0" applyNumberFormat="1" applyFill="1" applyBorder="1" applyAlignment="1">
      <alignment/>
    </xf>
    <xf numFmtId="3" fontId="0" fillId="36" borderId="35" xfId="0" applyNumberFormat="1" applyFill="1" applyBorder="1" applyAlignment="1">
      <alignment/>
    </xf>
    <xf numFmtId="0" fontId="0" fillId="35" borderId="23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3" fontId="0" fillId="35" borderId="21" xfId="0" applyNumberFormat="1" applyFill="1" applyBorder="1" applyAlignment="1">
      <alignment/>
    </xf>
    <xf numFmtId="3" fontId="0" fillId="35" borderId="23" xfId="0" applyNumberForma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10" fontId="0" fillId="33" borderId="39" xfId="0" applyNumberForma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38" borderId="33" xfId="0" applyFill="1" applyBorder="1" applyAlignment="1">
      <alignment wrapText="1"/>
    </xf>
    <xf numFmtId="0" fontId="0" fillId="37" borderId="40" xfId="0" applyFill="1" applyBorder="1" applyAlignment="1">
      <alignment/>
    </xf>
    <xf numFmtId="0" fontId="0" fillId="38" borderId="40" xfId="0" applyFill="1" applyBorder="1" applyAlignment="1">
      <alignment/>
    </xf>
    <xf numFmtId="0" fontId="0" fillId="37" borderId="34" xfId="0" applyFill="1" applyBorder="1" applyAlignment="1">
      <alignment/>
    </xf>
    <xf numFmtId="0" fontId="0" fillId="38" borderId="34" xfId="0" applyFill="1" applyBorder="1" applyAlignment="1">
      <alignment/>
    </xf>
    <xf numFmtId="0" fontId="0" fillId="3" borderId="28" xfId="0" applyFill="1" applyBorder="1" applyAlignment="1">
      <alignment/>
    </xf>
    <xf numFmtId="3" fontId="0" fillId="3" borderId="28" xfId="0" applyNumberFormat="1" applyFill="1" applyBorder="1" applyAlignment="1">
      <alignment/>
    </xf>
    <xf numFmtId="3" fontId="0" fillId="3" borderId="28" xfId="0" applyNumberFormat="1" applyFill="1" applyBorder="1" applyAlignment="1" quotePrefix="1">
      <alignment/>
    </xf>
    <xf numFmtId="0" fontId="0" fillId="4" borderId="28" xfId="0" applyFill="1" applyBorder="1" applyAlignment="1">
      <alignment/>
    </xf>
    <xf numFmtId="3" fontId="0" fillId="4" borderId="28" xfId="0" applyNumberFormat="1" applyFill="1" applyBorder="1" applyAlignment="1">
      <alignment/>
    </xf>
    <xf numFmtId="3" fontId="0" fillId="39" borderId="28" xfId="0" applyNumberFormat="1" applyFill="1" applyBorder="1" applyAlignment="1">
      <alignment/>
    </xf>
    <xf numFmtId="3" fontId="0" fillId="3" borderId="28" xfId="0" applyNumberFormat="1" applyFill="1" applyBorder="1" applyAlignment="1">
      <alignment horizontal="center"/>
    </xf>
    <xf numFmtId="3" fontId="0" fillId="3" borderId="28" xfId="0" applyNumberFormat="1" applyFill="1" applyBorder="1" applyAlignment="1">
      <alignment horizontal="center" wrapText="1"/>
    </xf>
    <xf numFmtId="3" fontId="0" fillId="4" borderId="28" xfId="0" applyNumberFormat="1" applyFill="1" applyBorder="1" applyAlignment="1">
      <alignment horizontal="center"/>
    </xf>
    <xf numFmtId="3" fontId="0" fillId="4" borderId="28" xfId="0" applyNumberFormat="1" applyFill="1" applyBorder="1" applyAlignment="1">
      <alignment horizontal="center" wrapText="1"/>
    </xf>
    <xf numFmtId="0" fontId="0" fillId="36" borderId="41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42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3"/>
  <sheetViews>
    <sheetView zoomScalePageLayoutView="0" workbookViewId="0" topLeftCell="A1">
      <selection activeCell="I5" sqref="I5:J29"/>
    </sheetView>
  </sheetViews>
  <sheetFormatPr defaultColWidth="11.421875" defaultRowHeight="12.75"/>
  <cols>
    <col min="1" max="1" width="2.140625" style="0" customWidth="1"/>
    <col min="2" max="2" width="37.57421875" style="0" customWidth="1"/>
    <col min="3" max="3" width="6.421875" style="0" customWidth="1"/>
    <col min="4" max="4" width="9.00390625" style="0" customWidth="1"/>
    <col min="5" max="5" width="6.8515625" style="0" customWidth="1"/>
    <col min="6" max="6" width="6.421875" style="0" customWidth="1"/>
    <col min="7" max="7" width="6.57421875" style="0" customWidth="1"/>
    <col min="8" max="8" width="9.421875" style="0" customWidth="1"/>
    <col min="9" max="9" width="11.7109375" style="0" customWidth="1"/>
    <col min="10" max="10" width="10.57421875" style="0" customWidth="1"/>
    <col min="13" max="13" width="11.00390625" style="0" customWidth="1"/>
    <col min="14" max="14" width="10.421875" style="0" customWidth="1"/>
    <col min="16" max="16" width="14.28125" style="0" customWidth="1"/>
    <col min="17" max="17" width="17.28125" style="0" customWidth="1"/>
    <col min="19" max="19" width="12.7109375" style="0" customWidth="1"/>
    <col min="21" max="22" width="11.421875" style="0" hidden="1" customWidth="1"/>
  </cols>
  <sheetData>
    <row r="1" ht="13.5" thickBot="1"/>
    <row r="2" spans="6:19" ht="12.75">
      <c r="F2" s="30"/>
      <c r="G2" s="31" t="s">
        <v>24</v>
      </c>
      <c r="H2" s="97" t="s">
        <v>31</v>
      </c>
      <c r="I2" s="98"/>
      <c r="J2" s="99"/>
      <c r="K2" s="94" t="s">
        <v>37</v>
      </c>
      <c r="L2" s="95"/>
      <c r="M2" s="95"/>
      <c r="N2" s="95"/>
      <c r="O2" s="96"/>
      <c r="P2" s="55" t="s">
        <v>32</v>
      </c>
      <c r="Q2" s="58" t="s">
        <v>33</v>
      </c>
      <c r="R2" s="61" t="s">
        <v>45</v>
      </c>
      <c r="S2" s="31" t="s">
        <v>46</v>
      </c>
    </row>
    <row r="3" spans="2:23" ht="39" thickBot="1">
      <c r="B3" s="78" t="s">
        <v>58</v>
      </c>
      <c r="F3" s="34"/>
      <c r="G3" s="35"/>
      <c r="H3" s="50" t="s">
        <v>0</v>
      </c>
      <c r="I3" s="39" t="s">
        <v>25</v>
      </c>
      <c r="J3" s="71" t="s">
        <v>27</v>
      </c>
      <c r="K3" s="67" t="s">
        <v>36</v>
      </c>
      <c r="L3" s="46" t="s">
        <v>28</v>
      </c>
      <c r="M3" s="46" t="s">
        <v>29</v>
      </c>
      <c r="N3" s="46" t="s">
        <v>30</v>
      </c>
      <c r="O3" s="51" t="s">
        <v>26</v>
      </c>
      <c r="P3" s="82"/>
      <c r="Q3" s="83"/>
      <c r="R3" s="34"/>
      <c r="S3" s="35"/>
      <c r="W3" s="79" t="s">
        <v>49</v>
      </c>
    </row>
    <row r="4" spans="6:19" ht="12.75">
      <c r="F4" s="37"/>
      <c r="G4" s="38"/>
      <c r="H4" s="40"/>
      <c r="I4" s="41"/>
      <c r="J4" s="72"/>
      <c r="K4" s="68"/>
      <c r="L4" s="47"/>
      <c r="M4" s="47"/>
      <c r="N4" s="47"/>
      <c r="O4" s="52"/>
      <c r="P4" s="80"/>
      <c r="Q4" s="81"/>
      <c r="R4" s="37"/>
      <c r="S4" s="38"/>
    </row>
    <row r="5" spans="2:23" ht="12.75">
      <c r="B5" s="15" t="s">
        <v>3</v>
      </c>
      <c r="C5" s="16"/>
      <c r="D5" s="17"/>
      <c r="F5" s="32">
        <f aca="true" t="shared" si="0" ref="F5:F30">2014+G5</f>
        <v>2014</v>
      </c>
      <c r="G5" s="33">
        <v>0</v>
      </c>
      <c r="H5" s="42">
        <f>IF($D$9=0,"",IF(MOD(($D$10-G5),$D$10)=0,$D$7*$D$9*(1+$D$56)^G5,""))</f>
      </c>
      <c r="I5" s="43">
        <f>IF(H5&lt;&gt;0,IF(H6="",IF(H5="",IF(MOD(($D$13-G5),$D$13)=0,$D$7*$D$12*(1+$D$56)^G5,""),""),""),"")</f>
        <v>60</v>
      </c>
      <c r="J5" s="73">
        <f>IF($D$15&lt;&gt;0,IF(G5&lt;&gt;0,IF(H6="",IF(H5="",IF(MOD(($D$16-G5),$D$16)=0,$D$7*$D$15*(1+$D$56)^G5,""),""),""),""),"")</f>
      </c>
      <c r="K5" s="69">
        <f aca="true" t="shared" si="1" ref="K5:K30">IF(H5&lt;&gt;"",$D$7*$D$50*$D$34/60*(1+$D$55)^G5,"")</f>
      </c>
      <c r="L5" s="48">
        <f aca="true" t="shared" si="2" ref="L5:L30">IF(I5&lt;&gt;"",$D$7*$D$50*$D$35/60*(1+$D$55)^G5,"")</f>
        <v>60</v>
      </c>
      <c r="M5" s="48">
        <f aca="true" t="shared" si="3" ref="M5:M30">IF(J5&lt;&gt;"",$D$7*$D$50*$D$36/60*(1+$D$55)^G5,"")</f>
      </c>
      <c r="N5" s="48">
        <f aca="true" t="shared" si="4" ref="N5:N30">IF(H6="",IF(H5="",IF(MOD(($D$43-G5),$D$43)=0,$D$7*$D$37/60*$D$50*(1+$D$55)^G5,""),""),"")</f>
        <v>100</v>
      </c>
      <c r="O5" s="53">
        <f aca="true" t="shared" si="5" ref="O5:O30">IF(H6="",IF(H5="",IF(MOD(($D$44-G5),$D$44)=0,$D$7*$D$38/60*$D$50*(1+$D$55)^G5,""),""),"")</f>
        <v>60</v>
      </c>
      <c r="P5" s="56">
        <f aca="true" t="shared" si="6" ref="P5:P30">IF(K5&lt;&gt;"",($D$7*$D$49*$D$33/60+$D$49*$D$32/60)*(1+$D$58)^G5,IF(L5&lt;&gt;"",($D$7*$D$49*$D$33/60+$D$49*$D$32/60)*(1+$D$58)^G5,IF(M5&lt;&gt;"",($D$7*$D$49*$D$33/60+$D$49*$D$32/60)*(1+$D$58)^G5,IF(N5&lt;&gt;"",($D$7*$D$49*$D$33/60+$D$49*$D$32/60)*(1+$D$58)^G5,IF(O5&lt;&gt;"",($D$7*$D$49*$D$33/60+$D$49*$D$32/60)*(1+$D$58)^G5,"")))))</f>
        <v>195</v>
      </c>
      <c r="Q5" s="59">
        <f aca="true" t="shared" si="7" ref="Q5:Q29">IF(U5&gt;0,$D$7*($C$22*$D$22+$C$23*$D$23+$C$24*$D$24+$C$25*$D$25)*$D$27*(1+$D$57)^G5*$D$21/1000/((1+$D$63)^V5),$D$7*($C$22*$D$22+$C$23*$D$23+$C$24*$D$24+$C$25*$D$25)*$D$27*(1+$D$57)^G5*$D$21/1000)</f>
        <v>639.2000000000002</v>
      </c>
      <c r="R5" s="62">
        <f aca="true" t="shared" si="8" ref="R5:R30">SUM(H5:Q5)</f>
        <v>1114.2000000000003</v>
      </c>
      <c r="S5" s="63">
        <f aca="true" t="shared" si="9" ref="S5:S30">R5/(1+$D$60)^G5</f>
        <v>1114.2000000000003</v>
      </c>
      <c r="U5">
        <f aca="true" t="shared" si="10" ref="U5:U29">IF(L5="",U4,U4+1)</f>
        <v>1</v>
      </c>
      <c r="V5">
        <f aca="true" t="shared" si="11" ref="V5:V29">IF(L5="",V4,G4+1)</f>
        <v>1</v>
      </c>
      <c r="W5" s="2">
        <f aca="true" t="shared" si="12" ref="W5:W29">IF(U5&gt;0,$D$7*($C$22*$D$22+$C$23*$D$23+$C$24*$D$24+$C$25*$D$25)*$D$21/1000/((1+$D$63)^V5),$D$7*($C$22*$D$22+$C$23*$D$23+$C$24*$D$24+$C$25*$D$25)*$D$21/1000)</f>
        <v>3760</v>
      </c>
    </row>
    <row r="6" spans="2:23" ht="12.75">
      <c r="B6" s="27"/>
      <c r="C6" s="4"/>
      <c r="D6" s="19"/>
      <c r="F6" s="32">
        <f t="shared" si="0"/>
        <v>2015</v>
      </c>
      <c r="G6" s="33">
        <f aca="true" t="shared" si="13" ref="G6:G30">G5+1</f>
        <v>1</v>
      </c>
      <c r="H6" s="42">
        <f aca="true" t="shared" si="14" ref="H6:H29">IF($D$9=0,"",IF(MOD(($D$10-G6),$D$10)=0,$D$7*$D$9*(1+$D$56)^G6,""))</f>
      </c>
      <c r="I6" s="43">
        <f aca="true" t="shared" si="15" ref="I6:I29">IF(H6&lt;&gt;0,IF(H7="",IF(H6="",IF(MOD(($D$13-G6),$D$13)=0,$D$7*$D$12*(1+$D$56)^G6,""),""),""),"")</f>
      </c>
      <c r="J6" s="73">
        <f aca="true" t="shared" si="16" ref="J6:J29">IF($D$15&lt;&gt;0,IF(G6&lt;&gt;0,IF(H7="",IF(H6="",IF(MOD(($D$16-G6),$D$16)=0,$D$7*$D$15*(1+$D$56)^G6,""),""),""),""),"")</f>
      </c>
      <c r="K6" s="69">
        <f t="shared" si="1"/>
      </c>
      <c r="L6" s="48">
        <f t="shared" si="2"/>
      </c>
      <c r="M6" s="48">
        <f t="shared" si="3"/>
      </c>
      <c r="N6" s="48">
        <f t="shared" si="4"/>
      </c>
      <c r="O6" s="53">
        <f t="shared" si="5"/>
      </c>
      <c r="P6" s="56">
        <f t="shared" si="6"/>
      </c>
      <c r="Q6" s="59">
        <f t="shared" si="7"/>
        <v>648.788</v>
      </c>
      <c r="R6" s="62">
        <f t="shared" si="8"/>
        <v>648.788</v>
      </c>
      <c r="S6" s="63">
        <f t="shared" si="9"/>
        <v>636.0666666666667</v>
      </c>
      <c r="U6">
        <f t="shared" si="10"/>
        <v>1</v>
      </c>
      <c r="V6">
        <f t="shared" si="11"/>
        <v>1</v>
      </c>
      <c r="W6" s="2">
        <f t="shared" si="12"/>
        <v>3760</v>
      </c>
    </row>
    <row r="7" spans="2:23" ht="12.75">
      <c r="B7" s="28" t="s">
        <v>23</v>
      </c>
      <c r="C7" s="4"/>
      <c r="D7" s="19">
        <v>10</v>
      </c>
      <c r="F7" s="32">
        <f t="shared" si="0"/>
        <v>2016</v>
      </c>
      <c r="G7" s="33">
        <f t="shared" si="13"/>
        <v>2</v>
      </c>
      <c r="H7" s="42">
        <f t="shared" si="14"/>
      </c>
      <c r="I7" s="43">
        <f t="shared" si="15"/>
      </c>
      <c r="J7" s="73">
        <f t="shared" si="16"/>
      </c>
      <c r="K7" s="69">
        <f t="shared" si="1"/>
      </c>
      <c r="L7" s="48">
        <f t="shared" si="2"/>
      </c>
      <c r="M7" s="48">
        <f t="shared" si="3"/>
      </c>
      <c r="N7" s="48">
        <f t="shared" si="4"/>
      </c>
      <c r="O7" s="53">
        <f t="shared" si="5"/>
      </c>
      <c r="P7" s="56">
        <f t="shared" si="6"/>
      </c>
      <c r="Q7" s="59">
        <f t="shared" si="7"/>
        <v>658.5198199999999</v>
      </c>
      <c r="R7" s="62">
        <f t="shared" si="8"/>
        <v>658.5198199999999</v>
      </c>
      <c r="S7" s="63">
        <f t="shared" si="9"/>
        <v>632.9486928104574</v>
      </c>
      <c r="U7">
        <f t="shared" si="10"/>
        <v>1</v>
      </c>
      <c r="V7">
        <f t="shared" si="11"/>
        <v>1</v>
      </c>
      <c r="W7" s="2">
        <f t="shared" si="12"/>
        <v>3760</v>
      </c>
    </row>
    <row r="8" spans="2:23" ht="12.75">
      <c r="B8" s="18"/>
      <c r="C8" s="4"/>
      <c r="D8" s="19"/>
      <c r="F8" s="32">
        <f t="shared" si="0"/>
        <v>2017</v>
      </c>
      <c r="G8" s="33">
        <f t="shared" si="13"/>
        <v>3</v>
      </c>
      <c r="H8" s="42">
        <f t="shared" si="14"/>
      </c>
      <c r="I8" s="43">
        <f t="shared" si="15"/>
        <v>62.740702499999976</v>
      </c>
      <c r="J8" s="73">
        <f t="shared" si="16"/>
      </c>
      <c r="K8" s="69">
        <f t="shared" si="1"/>
      </c>
      <c r="L8" s="48">
        <f t="shared" si="2"/>
        <v>63.67247999999999</v>
      </c>
      <c r="M8" s="48">
        <f t="shared" si="3"/>
      </c>
      <c r="N8" s="48">
        <f t="shared" si="4"/>
        <v>106.12079999999999</v>
      </c>
      <c r="O8" s="53">
        <f t="shared" si="5"/>
        <v>63.67247999999999</v>
      </c>
      <c r="P8" s="56">
        <f t="shared" si="6"/>
        <v>203.90728312499994</v>
      </c>
      <c r="Q8" s="59">
        <f t="shared" si="7"/>
        <v>668.3976172999999</v>
      </c>
      <c r="R8" s="62">
        <f t="shared" si="8"/>
        <v>1168.5113629249997</v>
      </c>
      <c r="S8" s="63">
        <f t="shared" si="9"/>
        <v>1101.1143554562345</v>
      </c>
      <c r="U8">
        <f t="shared" si="10"/>
        <v>2</v>
      </c>
      <c r="V8">
        <f t="shared" si="11"/>
        <v>3</v>
      </c>
      <c r="W8" s="2">
        <f t="shared" si="12"/>
        <v>3760</v>
      </c>
    </row>
    <row r="9" spans="2:23" ht="12.75">
      <c r="B9" s="18" t="s">
        <v>55</v>
      </c>
      <c r="C9" s="4"/>
      <c r="D9" s="19">
        <v>0</v>
      </c>
      <c r="F9" s="32">
        <f t="shared" si="0"/>
        <v>2018</v>
      </c>
      <c r="G9" s="33">
        <f t="shared" si="13"/>
        <v>4</v>
      </c>
      <c r="H9" s="42">
        <f t="shared" si="14"/>
      </c>
      <c r="I9" s="43">
        <f t="shared" si="15"/>
      </c>
      <c r="J9" s="73">
        <f t="shared" si="16"/>
      </c>
      <c r="K9" s="69">
        <f t="shared" si="1"/>
      </c>
      <c r="L9" s="48">
        <f t="shared" si="2"/>
      </c>
      <c r="M9" s="48">
        <f t="shared" si="3"/>
      </c>
      <c r="N9" s="48">
        <f t="shared" si="4"/>
      </c>
      <c r="O9" s="53">
        <f t="shared" si="5"/>
      </c>
      <c r="P9" s="56">
        <f t="shared" si="6"/>
      </c>
      <c r="Q9" s="59">
        <f t="shared" si="7"/>
        <v>678.4235815594998</v>
      </c>
      <c r="R9" s="62">
        <f t="shared" si="8"/>
        <v>678.4235815594998</v>
      </c>
      <c r="S9" s="63">
        <f t="shared" si="9"/>
        <v>626.7585227322697</v>
      </c>
      <c r="U9">
        <f t="shared" si="10"/>
        <v>2</v>
      </c>
      <c r="V9">
        <f t="shared" si="11"/>
        <v>3</v>
      </c>
      <c r="W9" s="2">
        <f t="shared" si="12"/>
        <v>3760</v>
      </c>
    </row>
    <row r="10" spans="2:23" ht="12.75">
      <c r="B10" s="18" t="s">
        <v>16</v>
      </c>
      <c r="C10" s="4"/>
      <c r="D10" s="19">
        <v>25</v>
      </c>
      <c r="F10" s="32">
        <f t="shared" si="0"/>
        <v>2019</v>
      </c>
      <c r="G10" s="33">
        <f t="shared" si="13"/>
        <v>5</v>
      </c>
      <c r="H10" s="42">
        <f t="shared" si="14"/>
      </c>
      <c r="I10" s="43">
        <f t="shared" si="15"/>
      </c>
      <c r="J10" s="73">
        <f t="shared" si="16"/>
      </c>
      <c r="K10" s="69">
        <f t="shared" si="1"/>
      </c>
      <c r="L10" s="48">
        <f t="shared" si="2"/>
      </c>
      <c r="M10" s="48">
        <f t="shared" si="3"/>
      </c>
      <c r="N10" s="48">
        <f t="shared" si="4"/>
      </c>
      <c r="O10" s="53">
        <f t="shared" si="5"/>
      </c>
      <c r="P10" s="56">
        <f t="shared" si="6"/>
      </c>
      <c r="Q10" s="59">
        <f t="shared" si="7"/>
        <v>688.5999352828921</v>
      </c>
      <c r="R10" s="62">
        <f t="shared" si="8"/>
        <v>688.5999352828921</v>
      </c>
      <c r="S10" s="63">
        <f t="shared" si="9"/>
        <v>623.6861770326016</v>
      </c>
      <c r="U10">
        <f t="shared" si="10"/>
        <v>2</v>
      </c>
      <c r="V10">
        <f t="shared" si="11"/>
        <v>3</v>
      </c>
      <c r="W10" s="2">
        <f t="shared" si="12"/>
        <v>3760</v>
      </c>
    </row>
    <row r="11" spans="2:23" ht="12.75">
      <c r="B11" s="18"/>
      <c r="C11" s="4"/>
      <c r="D11" s="19"/>
      <c r="F11" s="32">
        <f t="shared" si="0"/>
        <v>2020</v>
      </c>
      <c r="G11" s="33">
        <f t="shared" si="13"/>
        <v>6</v>
      </c>
      <c r="H11" s="42">
        <f t="shared" si="14"/>
      </c>
      <c r="I11" s="43">
        <f t="shared" si="15"/>
        <v>65.60659583655838</v>
      </c>
      <c r="J11" s="73">
        <f t="shared" si="16"/>
      </c>
      <c r="K11" s="69">
        <f t="shared" si="1"/>
      </c>
      <c r="L11" s="48">
        <f t="shared" si="2"/>
        <v>67.56974515584001</v>
      </c>
      <c r="M11" s="48">
        <f t="shared" si="3"/>
      </c>
      <c r="N11" s="48">
        <f t="shared" si="4"/>
        <v>112.61624192640001</v>
      </c>
      <c r="O11" s="53">
        <f t="shared" si="5"/>
        <v>67.56974515584001</v>
      </c>
      <c r="P11" s="56">
        <f t="shared" si="6"/>
        <v>213.22143646881474</v>
      </c>
      <c r="Q11" s="59">
        <f t="shared" si="7"/>
        <v>698.9289343121353</v>
      </c>
      <c r="R11" s="62">
        <f t="shared" si="8"/>
        <v>1225.5126988555885</v>
      </c>
      <c r="S11" s="63">
        <f t="shared" si="9"/>
        <v>1088.2202050895273</v>
      </c>
      <c r="U11">
        <f t="shared" si="10"/>
        <v>3</v>
      </c>
      <c r="V11">
        <f t="shared" si="11"/>
        <v>6</v>
      </c>
      <c r="W11" s="2">
        <f t="shared" si="12"/>
        <v>3760</v>
      </c>
    </row>
    <row r="12" spans="2:23" ht="12.75">
      <c r="B12" s="18" t="s">
        <v>1</v>
      </c>
      <c r="C12" s="4"/>
      <c r="D12" s="19">
        <v>6</v>
      </c>
      <c r="F12" s="32">
        <f t="shared" si="0"/>
        <v>2021</v>
      </c>
      <c r="G12" s="33">
        <f t="shared" si="13"/>
        <v>7</v>
      </c>
      <c r="H12" s="42">
        <f t="shared" si="14"/>
      </c>
      <c r="I12" s="43">
        <f t="shared" si="15"/>
      </c>
      <c r="J12" s="73">
        <f t="shared" si="16"/>
      </c>
      <c r="K12" s="69">
        <f t="shared" si="1"/>
      </c>
      <c r="L12" s="48">
        <f t="shared" si="2"/>
      </c>
      <c r="M12" s="48">
        <f t="shared" si="3"/>
      </c>
      <c r="N12" s="48">
        <f t="shared" si="4"/>
      </c>
      <c r="O12" s="53">
        <f t="shared" si="5"/>
      </c>
      <c r="P12" s="56">
        <f t="shared" si="6"/>
      </c>
      <c r="Q12" s="59">
        <f t="shared" si="7"/>
        <v>709.4128683268173</v>
      </c>
      <c r="R12" s="62">
        <f t="shared" si="8"/>
        <v>709.4128683268173</v>
      </c>
      <c r="S12" s="63">
        <f t="shared" si="9"/>
        <v>617.586593361603</v>
      </c>
      <c r="U12">
        <f t="shared" si="10"/>
        <v>3</v>
      </c>
      <c r="V12">
        <f t="shared" si="11"/>
        <v>6</v>
      </c>
      <c r="W12" s="2">
        <f t="shared" si="12"/>
        <v>3760</v>
      </c>
    </row>
    <row r="13" spans="2:23" ht="12.75">
      <c r="B13" s="18" t="s">
        <v>17</v>
      </c>
      <c r="C13" s="4"/>
      <c r="D13" s="19">
        <v>3</v>
      </c>
      <c r="F13" s="32">
        <f t="shared" si="0"/>
        <v>2022</v>
      </c>
      <c r="G13" s="33">
        <f t="shared" si="13"/>
        <v>8</v>
      </c>
      <c r="H13" s="42">
        <f t="shared" si="14"/>
      </c>
      <c r="I13" s="43">
        <f t="shared" si="15"/>
      </c>
      <c r="J13" s="73">
        <f t="shared" si="16"/>
      </c>
      <c r="K13" s="69">
        <f t="shared" si="1"/>
      </c>
      <c r="L13" s="48">
        <f t="shared" si="2"/>
      </c>
      <c r="M13" s="48">
        <f t="shared" si="3"/>
      </c>
      <c r="N13" s="48">
        <f t="shared" si="4"/>
      </c>
      <c r="O13" s="53">
        <f t="shared" si="5"/>
      </c>
      <c r="P13" s="56">
        <f t="shared" si="6"/>
      </c>
      <c r="Q13" s="59">
        <f t="shared" si="7"/>
        <v>720.0540613517194</v>
      </c>
      <c r="R13" s="62">
        <f t="shared" si="8"/>
        <v>720.0540613517194</v>
      </c>
      <c r="S13" s="63">
        <f t="shared" si="9"/>
        <v>614.5592081000264</v>
      </c>
      <c r="U13">
        <f t="shared" si="10"/>
        <v>3</v>
      </c>
      <c r="V13">
        <f t="shared" si="11"/>
        <v>6</v>
      </c>
      <c r="W13" s="2">
        <f t="shared" si="12"/>
        <v>3760</v>
      </c>
    </row>
    <row r="14" spans="2:23" ht="12.75">
      <c r="B14" s="18"/>
      <c r="C14" s="4"/>
      <c r="D14" s="19"/>
      <c r="F14" s="32">
        <f t="shared" si="0"/>
        <v>2023</v>
      </c>
      <c r="G14" s="33">
        <f t="shared" si="13"/>
        <v>9</v>
      </c>
      <c r="H14" s="42">
        <f t="shared" si="14"/>
      </c>
      <c r="I14" s="43">
        <f t="shared" si="15"/>
        <v>68.6033985236541</v>
      </c>
      <c r="J14" s="73">
        <f t="shared" si="16"/>
      </c>
      <c r="K14" s="69">
        <f t="shared" si="1"/>
      </c>
      <c r="L14" s="48">
        <f t="shared" si="2"/>
        <v>71.70555411733865</v>
      </c>
      <c r="M14" s="48">
        <f t="shared" si="3"/>
      </c>
      <c r="N14" s="48">
        <f t="shared" si="4"/>
        <v>119.50925686223108</v>
      </c>
      <c r="O14" s="53">
        <f t="shared" si="5"/>
        <v>71.70555411733865</v>
      </c>
      <c r="P14" s="56">
        <f t="shared" si="6"/>
        <v>222.96104520187586</v>
      </c>
      <c r="Q14" s="59">
        <f t="shared" si="7"/>
        <v>730.8548722719952</v>
      </c>
      <c r="R14" s="62">
        <f t="shared" si="8"/>
        <v>1285.3396810944337</v>
      </c>
      <c r="S14" s="63">
        <f t="shared" si="9"/>
        <v>1075.5147465908508</v>
      </c>
      <c r="U14">
        <f t="shared" si="10"/>
        <v>4</v>
      </c>
      <c r="V14">
        <f t="shared" si="11"/>
        <v>9</v>
      </c>
      <c r="W14" s="2">
        <f t="shared" si="12"/>
        <v>3760</v>
      </c>
    </row>
    <row r="15" spans="2:23" ht="12.75">
      <c r="B15" s="18" t="s">
        <v>2</v>
      </c>
      <c r="C15" s="4"/>
      <c r="D15" s="19">
        <v>60</v>
      </c>
      <c r="F15" s="32">
        <f t="shared" si="0"/>
        <v>2024</v>
      </c>
      <c r="G15" s="33">
        <f t="shared" si="13"/>
        <v>10</v>
      </c>
      <c r="H15" s="42">
        <f t="shared" si="14"/>
      </c>
      <c r="I15" s="43">
        <f t="shared" si="15"/>
      </c>
      <c r="J15" s="73">
        <f t="shared" si="16"/>
      </c>
      <c r="K15" s="69">
        <f t="shared" si="1"/>
      </c>
      <c r="L15" s="48">
        <f t="shared" si="2"/>
      </c>
      <c r="M15" s="48">
        <f t="shared" si="3"/>
      </c>
      <c r="N15" s="48">
        <f t="shared" si="4"/>
      </c>
      <c r="O15" s="53">
        <f t="shared" si="5"/>
      </c>
      <c r="P15" s="56">
        <f t="shared" si="6"/>
      </c>
      <c r="Q15" s="59">
        <f t="shared" si="7"/>
        <v>741.8176953560751</v>
      </c>
      <c r="R15" s="62">
        <f t="shared" si="8"/>
        <v>741.8176953560751</v>
      </c>
      <c r="S15" s="63">
        <f t="shared" si="9"/>
        <v>608.5488852026621</v>
      </c>
      <c r="U15">
        <f t="shared" si="10"/>
        <v>4</v>
      </c>
      <c r="V15">
        <f t="shared" si="11"/>
        <v>9</v>
      </c>
      <c r="W15" s="2">
        <f t="shared" si="12"/>
        <v>3760</v>
      </c>
    </row>
    <row r="16" spans="2:23" ht="12.75">
      <c r="B16" s="21" t="s">
        <v>18</v>
      </c>
      <c r="C16" s="22"/>
      <c r="D16" s="29">
        <v>25</v>
      </c>
      <c r="F16" s="32">
        <f t="shared" si="0"/>
        <v>2025</v>
      </c>
      <c r="G16" s="33">
        <f t="shared" si="13"/>
        <v>11</v>
      </c>
      <c r="H16" s="42">
        <f t="shared" si="14"/>
      </c>
      <c r="I16" s="43">
        <f t="shared" si="15"/>
      </c>
      <c r="J16" s="73">
        <f t="shared" si="16"/>
      </c>
      <c r="K16" s="69">
        <f t="shared" si="1"/>
      </c>
      <c r="L16" s="48">
        <f t="shared" si="2"/>
      </c>
      <c r="M16" s="48">
        <f t="shared" si="3"/>
      </c>
      <c r="N16" s="48">
        <f t="shared" si="4"/>
      </c>
      <c r="O16" s="53">
        <f t="shared" si="5"/>
      </c>
      <c r="P16" s="56">
        <f t="shared" si="6"/>
      </c>
      <c r="Q16" s="59">
        <f t="shared" si="7"/>
        <v>752.9449607864161</v>
      </c>
      <c r="R16" s="62">
        <f t="shared" si="8"/>
        <v>752.9449607864161</v>
      </c>
      <c r="S16" s="63">
        <f t="shared" si="9"/>
        <v>605.5658024320609</v>
      </c>
      <c r="U16">
        <f t="shared" si="10"/>
        <v>4</v>
      </c>
      <c r="V16">
        <f t="shared" si="11"/>
        <v>9</v>
      </c>
      <c r="W16" s="2">
        <f t="shared" si="12"/>
        <v>3760</v>
      </c>
    </row>
    <row r="17" spans="6:23" ht="12.75">
      <c r="F17" s="32">
        <f t="shared" si="0"/>
        <v>2026</v>
      </c>
      <c r="G17" s="33">
        <f t="shared" si="13"/>
        <v>12</v>
      </c>
      <c r="H17" s="42">
        <f t="shared" si="14"/>
      </c>
      <c r="I17" s="43">
        <f t="shared" si="15"/>
        <v>71.737090287692</v>
      </c>
      <c r="J17" s="73">
        <f t="shared" si="16"/>
      </c>
      <c r="K17" s="69">
        <f t="shared" si="1"/>
      </c>
      <c r="L17" s="48">
        <f t="shared" si="2"/>
        <v>76.09450767375272</v>
      </c>
      <c r="M17" s="48">
        <f t="shared" si="3"/>
      </c>
      <c r="N17" s="48">
        <f t="shared" si="4"/>
        <v>126.82417945625453</v>
      </c>
      <c r="O17" s="53">
        <f t="shared" si="5"/>
        <v>76.09450767375272</v>
      </c>
      <c r="P17" s="56">
        <f t="shared" si="6"/>
        <v>233.14554343499898</v>
      </c>
      <c r="Q17" s="59">
        <f t="shared" si="7"/>
        <v>764.2391351982122</v>
      </c>
      <c r="R17" s="62">
        <f t="shared" si="8"/>
        <v>1348.134963724663</v>
      </c>
      <c r="S17" s="63">
        <f t="shared" si="9"/>
        <v>1062.9952186599207</v>
      </c>
      <c r="U17">
        <f t="shared" si="10"/>
        <v>5</v>
      </c>
      <c r="V17">
        <f t="shared" si="11"/>
        <v>12</v>
      </c>
      <c r="W17" s="2">
        <f t="shared" si="12"/>
        <v>3760</v>
      </c>
    </row>
    <row r="18" spans="6:23" ht="12.75">
      <c r="F18" s="32">
        <f t="shared" si="0"/>
        <v>2027</v>
      </c>
      <c r="G18" s="33">
        <f t="shared" si="13"/>
        <v>13</v>
      </c>
      <c r="H18" s="42">
        <f t="shared" si="14"/>
      </c>
      <c r="I18" s="43">
        <f t="shared" si="15"/>
      </c>
      <c r="J18" s="73">
        <f t="shared" si="16"/>
      </c>
      <c r="K18" s="69">
        <f t="shared" si="1"/>
      </c>
      <c r="L18" s="48">
        <f t="shared" si="2"/>
      </c>
      <c r="M18" s="48">
        <f t="shared" si="3"/>
      </c>
      <c r="N18" s="48">
        <f t="shared" si="4"/>
      </c>
      <c r="O18" s="53">
        <f t="shared" si="5"/>
      </c>
      <c r="P18" s="56">
        <f t="shared" si="6"/>
      </c>
      <c r="Q18" s="59">
        <f t="shared" si="7"/>
        <v>775.7027222261854</v>
      </c>
      <c r="R18" s="62">
        <f t="shared" si="8"/>
        <v>775.7027222261854</v>
      </c>
      <c r="S18" s="63">
        <f t="shared" si="9"/>
        <v>599.6434340739809</v>
      </c>
      <c r="U18">
        <f t="shared" si="10"/>
        <v>5</v>
      </c>
      <c r="V18">
        <f t="shared" si="11"/>
        <v>12</v>
      </c>
      <c r="W18" s="2">
        <f t="shared" si="12"/>
        <v>3760</v>
      </c>
    </row>
    <row r="19" spans="2:23" ht="12.75">
      <c r="B19" s="5" t="s">
        <v>39</v>
      </c>
      <c r="C19" s="6"/>
      <c r="D19" s="7"/>
      <c r="F19" s="32">
        <f t="shared" si="0"/>
        <v>2028</v>
      </c>
      <c r="G19" s="33">
        <f t="shared" si="13"/>
        <v>14</v>
      </c>
      <c r="H19" s="42">
        <f t="shared" si="14"/>
      </c>
      <c r="I19" s="43">
        <f t="shared" si="15"/>
      </c>
      <c r="J19" s="73">
        <f t="shared" si="16"/>
      </c>
      <c r="K19" s="69">
        <f t="shared" si="1"/>
      </c>
      <c r="L19" s="48">
        <f t="shared" si="2"/>
      </c>
      <c r="M19" s="48">
        <f t="shared" si="3"/>
      </c>
      <c r="N19" s="48">
        <f t="shared" si="4"/>
      </c>
      <c r="O19" s="53">
        <f t="shared" si="5"/>
      </c>
      <c r="P19" s="56">
        <f t="shared" si="6"/>
      </c>
      <c r="Q19" s="59">
        <f t="shared" si="7"/>
        <v>787.3382630595779</v>
      </c>
      <c r="R19" s="62">
        <f t="shared" si="8"/>
        <v>787.3382630595779</v>
      </c>
      <c r="S19" s="63">
        <f t="shared" si="9"/>
        <v>596.7040054755787</v>
      </c>
      <c r="U19">
        <f t="shared" si="10"/>
        <v>5</v>
      </c>
      <c r="V19">
        <f t="shared" si="11"/>
        <v>12</v>
      </c>
      <c r="W19" s="2">
        <f t="shared" si="12"/>
        <v>3760</v>
      </c>
    </row>
    <row r="20" spans="2:23" ht="12.75">
      <c r="B20" s="8"/>
      <c r="C20" s="9"/>
      <c r="D20" s="10"/>
      <c r="F20" s="32">
        <f t="shared" si="0"/>
        <v>2029</v>
      </c>
      <c r="G20" s="33">
        <f t="shared" si="13"/>
        <v>15</v>
      </c>
      <c r="H20" s="42">
        <f t="shared" si="14"/>
      </c>
      <c r="I20" s="43">
        <f t="shared" si="15"/>
        <v>75.01392399926202</v>
      </c>
      <c r="J20" s="73">
        <f t="shared" si="16"/>
      </c>
      <c r="K20" s="69">
        <f t="shared" si="1"/>
      </c>
      <c r="L20" s="48">
        <f t="shared" si="2"/>
        <v>80.75210029944775</v>
      </c>
      <c r="M20" s="48">
        <f t="shared" si="3"/>
      </c>
      <c r="N20" s="48">
        <f t="shared" si="4"/>
        <v>134.58683383241294</v>
      </c>
      <c r="O20" s="53">
        <f t="shared" si="5"/>
        <v>80.75210029944775</v>
      </c>
      <c r="P20" s="56">
        <f t="shared" si="6"/>
        <v>243.79525299760155</v>
      </c>
      <c r="Q20" s="59">
        <f t="shared" si="7"/>
        <v>799.1483370054714</v>
      </c>
      <c r="R20" s="62">
        <f t="shared" si="8"/>
        <v>1414.0485484336434</v>
      </c>
      <c r="S20" s="63">
        <f t="shared" si="9"/>
        <v>1050.658900405081</v>
      </c>
      <c r="U20">
        <f t="shared" si="10"/>
        <v>6</v>
      </c>
      <c r="V20">
        <f t="shared" si="11"/>
        <v>15</v>
      </c>
      <c r="W20" s="2">
        <f t="shared" si="12"/>
        <v>3760</v>
      </c>
    </row>
    <row r="21" spans="2:23" ht="12.75">
      <c r="B21" s="8" t="s">
        <v>4</v>
      </c>
      <c r="C21" s="9"/>
      <c r="D21" s="10">
        <v>94</v>
      </c>
      <c r="F21" s="32">
        <f t="shared" si="0"/>
        <v>2030</v>
      </c>
      <c r="G21" s="33">
        <f t="shared" si="13"/>
        <v>16</v>
      </c>
      <c r="H21" s="42">
        <f t="shared" si="14"/>
      </c>
      <c r="I21" s="43">
        <f t="shared" si="15"/>
      </c>
      <c r="J21" s="73">
        <f t="shared" si="16"/>
      </c>
      <c r="K21" s="69">
        <f t="shared" si="1"/>
      </c>
      <c r="L21" s="48">
        <f t="shared" si="2"/>
      </c>
      <c r="M21" s="48">
        <f t="shared" si="3"/>
      </c>
      <c r="N21" s="48">
        <f t="shared" si="4"/>
      </c>
      <c r="O21" s="53">
        <f t="shared" si="5"/>
      </c>
      <c r="P21" s="56">
        <f t="shared" si="6"/>
      </c>
      <c r="Q21" s="59">
        <f t="shared" si="7"/>
        <v>811.1355620605533</v>
      </c>
      <c r="R21" s="62">
        <f t="shared" si="8"/>
        <v>811.1355620605533</v>
      </c>
      <c r="S21" s="63">
        <f t="shared" si="9"/>
        <v>590.8683045377527</v>
      </c>
      <c r="U21">
        <f t="shared" si="10"/>
        <v>6</v>
      </c>
      <c r="V21">
        <f t="shared" si="11"/>
        <v>15</v>
      </c>
      <c r="W21" s="2">
        <f t="shared" si="12"/>
        <v>3760</v>
      </c>
    </row>
    <row r="22" spans="2:23" ht="12.75">
      <c r="B22" s="8" t="s">
        <v>40</v>
      </c>
      <c r="C22" s="11">
        <v>1</v>
      </c>
      <c r="D22" s="10">
        <v>4000</v>
      </c>
      <c r="F22" s="32">
        <f t="shared" si="0"/>
        <v>2031</v>
      </c>
      <c r="G22" s="33">
        <f t="shared" si="13"/>
        <v>17</v>
      </c>
      <c r="H22" s="42">
        <f t="shared" si="14"/>
      </c>
      <c r="I22" s="43">
        <f t="shared" si="15"/>
      </c>
      <c r="J22" s="73">
        <f t="shared" si="16"/>
      </c>
      <c r="K22" s="69">
        <f t="shared" si="1"/>
      </c>
      <c r="L22" s="48">
        <f t="shared" si="2"/>
      </c>
      <c r="M22" s="48">
        <f t="shared" si="3"/>
      </c>
      <c r="N22" s="48">
        <f t="shared" si="4"/>
      </c>
      <c r="O22" s="53">
        <f t="shared" si="5"/>
      </c>
      <c r="P22" s="56">
        <f t="shared" si="6"/>
      </c>
      <c r="Q22" s="59">
        <f t="shared" si="7"/>
        <v>823.3025954914617</v>
      </c>
      <c r="R22" s="62">
        <f t="shared" si="8"/>
        <v>823.3025954914617</v>
      </c>
      <c r="S22" s="63">
        <f t="shared" si="9"/>
        <v>587.9718912802147</v>
      </c>
      <c r="U22">
        <f t="shared" si="10"/>
        <v>6</v>
      </c>
      <c r="V22">
        <f t="shared" si="11"/>
        <v>15</v>
      </c>
      <c r="W22" s="2">
        <f t="shared" si="12"/>
        <v>3760</v>
      </c>
    </row>
    <row r="23" spans="2:23" ht="12.75">
      <c r="B23" s="8" t="s">
        <v>41</v>
      </c>
      <c r="C23" s="11">
        <v>0.75</v>
      </c>
      <c r="D23" s="10"/>
      <c r="F23" s="32">
        <f t="shared" si="0"/>
        <v>2032</v>
      </c>
      <c r="G23" s="33">
        <f t="shared" si="13"/>
        <v>18</v>
      </c>
      <c r="H23" s="42">
        <f t="shared" si="14"/>
      </c>
      <c r="I23" s="43">
        <f t="shared" si="15"/>
        <v>78.44043814992177</v>
      </c>
      <c r="J23" s="73">
        <f t="shared" si="16"/>
      </c>
      <c r="K23" s="69">
        <f t="shared" si="1"/>
      </c>
      <c r="L23" s="48">
        <f t="shared" si="2"/>
        <v>85.69477485457637</v>
      </c>
      <c r="M23" s="48">
        <f t="shared" si="3"/>
      </c>
      <c r="N23" s="48">
        <f t="shared" si="4"/>
        <v>142.82462475762728</v>
      </c>
      <c r="O23" s="53">
        <f t="shared" si="5"/>
        <v>85.69477485457637</v>
      </c>
      <c r="P23" s="56">
        <f t="shared" si="6"/>
        <v>254.93142398724578</v>
      </c>
      <c r="Q23" s="59">
        <f t="shared" si="7"/>
        <v>835.6521344238334</v>
      </c>
      <c r="R23" s="62">
        <f t="shared" si="8"/>
        <v>1483.238171027781</v>
      </c>
      <c r="S23" s="63">
        <f t="shared" si="9"/>
        <v>1038.5031107519653</v>
      </c>
      <c r="U23">
        <f t="shared" si="10"/>
        <v>7</v>
      </c>
      <c r="V23">
        <f t="shared" si="11"/>
        <v>18</v>
      </c>
      <c r="W23" s="2">
        <f t="shared" si="12"/>
        <v>3760</v>
      </c>
    </row>
    <row r="24" spans="2:23" ht="12.75">
      <c r="B24" s="8" t="s">
        <v>42</v>
      </c>
      <c r="C24" s="11">
        <v>0.5</v>
      </c>
      <c r="D24" s="10"/>
      <c r="F24" s="32">
        <f t="shared" si="0"/>
        <v>2033</v>
      </c>
      <c r="G24" s="33">
        <f t="shared" si="13"/>
        <v>19</v>
      </c>
      <c r="H24" s="42">
        <f t="shared" si="14"/>
      </c>
      <c r="I24" s="43">
        <f t="shared" si="15"/>
      </c>
      <c r="J24" s="73">
        <f t="shared" si="16"/>
      </c>
      <c r="K24" s="69">
        <f t="shared" si="1"/>
      </c>
      <c r="L24" s="48">
        <f t="shared" si="2"/>
      </c>
      <c r="M24" s="48">
        <f t="shared" si="3"/>
      </c>
      <c r="N24" s="48">
        <f t="shared" si="4"/>
      </c>
      <c r="O24" s="53">
        <f t="shared" si="5"/>
      </c>
      <c r="P24" s="56">
        <f t="shared" si="6"/>
      </c>
      <c r="Q24" s="59">
        <f t="shared" si="7"/>
        <v>848.1869164401909</v>
      </c>
      <c r="R24" s="62">
        <f t="shared" si="8"/>
        <v>848.1869164401909</v>
      </c>
      <c r="S24" s="63">
        <f t="shared" si="9"/>
        <v>582.2215894791995</v>
      </c>
      <c r="U24">
        <f t="shared" si="10"/>
        <v>7</v>
      </c>
      <c r="V24">
        <f t="shared" si="11"/>
        <v>18</v>
      </c>
      <c r="W24" s="2">
        <f t="shared" si="12"/>
        <v>3760</v>
      </c>
    </row>
    <row r="25" spans="2:23" ht="12.75">
      <c r="B25" s="8" t="s">
        <v>43</v>
      </c>
      <c r="C25" s="11">
        <v>0.25</v>
      </c>
      <c r="D25" s="10"/>
      <c r="F25" s="32">
        <f t="shared" si="0"/>
        <v>2034</v>
      </c>
      <c r="G25" s="33">
        <f t="shared" si="13"/>
        <v>20</v>
      </c>
      <c r="H25" s="42">
        <f t="shared" si="14"/>
      </c>
      <c r="I25" s="43">
        <f t="shared" si="15"/>
      </c>
      <c r="J25" s="73">
        <f t="shared" si="16"/>
      </c>
      <c r="K25" s="69">
        <f t="shared" si="1"/>
      </c>
      <c r="L25" s="48">
        <f t="shared" si="2"/>
      </c>
      <c r="M25" s="48">
        <f t="shared" si="3"/>
      </c>
      <c r="N25" s="48">
        <f t="shared" si="4"/>
      </c>
      <c r="O25" s="53">
        <f t="shared" si="5"/>
      </c>
      <c r="P25" s="56">
        <f t="shared" si="6"/>
      </c>
      <c r="Q25" s="59">
        <f t="shared" si="7"/>
        <v>860.9097201867935</v>
      </c>
      <c r="R25" s="62">
        <f t="shared" si="8"/>
        <v>860.9097201867935</v>
      </c>
      <c r="S25" s="63">
        <f t="shared" si="9"/>
        <v>579.3675620797914</v>
      </c>
      <c r="U25">
        <f t="shared" si="10"/>
        <v>7</v>
      </c>
      <c r="V25">
        <f t="shared" si="11"/>
        <v>18</v>
      </c>
      <c r="W25" s="2">
        <f t="shared" si="12"/>
        <v>3760</v>
      </c>
    </row>
    <row r="26" spans="2:23" ht="12.75">
      <c r="B26" s="8"/>
      <c r="C26" s="9"/>
      <c r="D26" s="10"/>
      <c r="F26" s="32">
        <f t="shared" si="0"/>
        <v>2035</v>
      </c>
      <c r="G26" s="33">
        <f t="shared" si="13"/>
        <v>21</v>
      </c>
      <c r="H26" s="42">
        <f t="shared" si="14"/>
      </c>
      <c r="I26" s="43">
        <f t="shared" si="15"/>
        <v>82.02346989889817</v>
      </c>
      <c r="J26" s="73">
        <f t="shared" si="16"/>
      </c>
      <c r="K26" s="69">
        <f t="shared" si="1"/>
      </c>
      <c r="L26" s="48">
        <f t="shared" si="2"/>
        <v>90.93998063387528</v>
      </c>
      <c r="M26" s="48">
        <f t="shared" si="3"/>
      </c>
      <c r="N26" s="48">
        <f t="shared" si="4"/>
        <v>151.5666343897921</v>
      </c>
      <c r="O26" s="53">
        <f t="shared" si="5"/>
        <v>90.93998063387528</v>
      </c>
      <c r="P26" s="56">
        <f t="shared" si="6"/>
        <v>266.57627717141906</v>
      </c>
      <c r="Q26" s="59">
        <f t="shared" si="7"/>
        <v>873.8233659895953</v>
      </c>
      <c r="R26" s="62">
        <f t="shared" si="8"/>
        <v>1555.869708717455</v>
      </c>
      <c r="S26" s="63">
        <f t="shared" si="9"/>
        <v>1026.525207860815</v>
      </c>
      <c r="U26">
        <f t="shared" si="10"/>
        <v>8</v>
      </c>
      <c r="V26">
        <f t="shared" si="11"/>
        <v>21</v>
      </c>
      <c r="W26" s="2">
        <f t="shared" si="12"/>
        <v>3760</v>
      </c>
    </row>
    <row r="27" spans="2:23" ht="12.75">
      <c r="B27" s="12" t="s">
        <v>5</v>
      </c>
      <c r="C27" s="13"/>
      <c r="D27" s="14">
        <v>0.17</v>
      </c>
      <c r="F27" s="32">
        <f t="shared" si="0"/>
        <v>2036</v>
      </c>
      <c r="G27" s="33">
        <f t="shared" si="13"/>
        <v>22</v>
      </c>
      <c r="H27" s="42">
        <f t="shared" si="14"/>
      </c>
      <c r="I27" s="43">
        <f t="shared" si="15"/>
      </c>
      <c r="J27" s="73">
        <f t="shared" si="16"/>
      </c>
      <c r="K27" s="69">
        <f t="shared" si="1"/>
      </c>
      <c r="L27" s="48">
        <f t="shared" si="2"/>
      </c>
      <c r="M27" s="48">
        <f t="shared" si="3"/>
      </c>
      <c r="N27" s="48">
        <f t="shared" si="4"/>
      </c>
      <c r="O27" s="53">
        <f t="shared" si="5"/>
      </c>
      <c r="P27" s="56">
        <f t="shared" si="6"/>
      </c>
      <c r="Q27" s="59">
        <f t="shared" si="7"/>
        <v>886.9307164794391</v>
      </c>
      <c r="R27" s="62">
        <f t="shared" si="8"/>
        <v>886.9307164794391</v>
      </c>
      <c r="S27" s="63">
        <f t="shared" si="9"/>
        <v>573.7014096920924</v>
      </c>
      <c r="U27">
        <f t="shared" si="10"/>
        <v>8</v>
      </c>
      <c r="V27">
        <f t="shared" si="11"/>
        <v>21</v>
      </c>
      <c r="W27" s="2">
        <f t="shared" si="12"/>
        <v>3760</v>
      </c>
    </row>
    <row r="28" spans="6:23" ht="12.75">
      <c r="F28" s="32">
        <f t="shared" si="0"/>
        <v>2037</v>
      </c>
      <c r="G28" s="33">
        <f t="shared" si="13"/>
        <v>23</v>
      </c>
      <c r="H28" s="42">
        <f t="shared" si="14"/>
      </c>
      <c r="I28" s="43">
        <f t="shared" si="15"/>
      </c>
      <c r="J28" s="73">
        <f t="shared" si="16"/>
      </c>
      <c r="K28" s="69">
        <f t="shared" si="1"/>
      </c>
      <c r="L28" s="48">
        <f t="shared" si="2"/>
      </c>
      <c r="M28" s="48">
        <f t="shared" si="3"/>
      </c>
      <c r="N28" s="48">
        <f t="shared" si="4"/>
      </c>
      <c r="O28" s="53">
        <f t="shared" si="5"/>
      </c>
      <c r="P28" s="56">
        <f t="shared" si="6"/>
      </c>
      <c r="Q28" s="59">
        <f t="shared" si="7"/>
        <v>900.2346772266307</v>
      </c>
      <c r="R28" s="62">
        <f t="shared" si="8"/>
        <v>900.2346772266307</v>
      </c>
      <c r="S28" s="63">
        <f t="shared" si="9"/>
        <v>570.8891478798763</v>
      </c>
      <c r="U28">
        <f t="shared" si="10"/>
        <v>8</v>
      </c>
      <c r="V28">
        <f t="shared" si="11"/>
        <v>21</v>
      </c>
      <c r="W28" s="2">
        <f t="shared" si="12"/>
        <v>3760</v>
      </c>
    </row>
    <row r="29" spans="6:23" ht="13.5" thickBot="1">
      <c r="F29" s="34">
        <f t="shared" si="0"/>
        <v>2038</v>
      </c>
      <c r="G29" s="35">
        <f t="shared" si="13"/>
        <v>24</v>
      </c>
      <c r="H29" s="44">
        <f t="shared" si="14"/>
      </c>
      <c r="I29" s="45">
        <f t="shared" si="15"/>
      </c>
      <c r="J29" s="74">
        <f t="shared" si="16"/>
      </c>
      <c r="K29" s="70">
        <f t="shared" si="1"/>
      </c>
      <c r="L29" s="49">
        <f t="shared" si="2"/>
      </c>
      <c r="M29" s="49">
        <f t="shared" si="3"/>
      </c>
      <c r="N29" s="49">
        <f t="shared" si="4"/>
      </c>
      <c r="O29" s="54">
        <f t="shared" si="5"/>
      </c>
      <c r="P29" s="57">
        <f t="shared" si="6"/>
      </c>
      <c r="Q29" s="60">
        <f t="shared" si="7"/>
        <v>913.7381973850298</v>
      </c>
      <c r="R29" s="64">
        <f t="shared" si="8"/>
        <v>913.7381973850298</v>
      </c>
      <c r="S29" s="65">
        <f t="shared" si="9"/>
        <v>568.0906716647787</v>
      </c>
      <c r="U29">
        <f t="shared" si="10"/>
        <v>8</v>
      </c>
      <c r="V29">
        <f t="shared" si="11"/>
        <v>21</v>
      </c>
      <c r="W29" s="2">
        <f t="shared" si="12"/>
        <v>3760</v>
      </c>
    </row>
    <row r="30" spans="2:19" ht="12.75">
      <c r="B30" s="15" t="s">
        <v>6</v>
      </c>
      <c r="C30" s="16"/>
      <c r="D30" s="17"/>
      <c r="F30" s="36">
        <f t="shared" si="0"/>
        <v>2039</v>
      </c>
      <c r="G30" s="36">
        <f t="shared" si="13"/>
        <v>25</v>
      </c>
      <c r="H30" s="36">
        <f>IF(MOD(($D$10-G30),$D$10)=0,$D$7*$D$9*(1+$D$56)^G30,"")</f>
        <v>0</v>
      </c>
      <c r="I30" s="36">
        <f>IF(H31="",IF(H30="",IF(MOD(($D$13-G30),$D$13)=0,$D$7*$D$12*(1+$D$56)^G30,""),""),"")</f>
      </c>
      <c r="J30" s="36">
        <f>IF(H31="",IF(H30="",IF(MOD(($D$16-G30),$D$16)=0,$D$7*$D$15*(1+$D$56)^G30,""),""),"")</f>
      </c>
      <c r="K30" s="36">
        <f t="shared" si="1"/>
        <v>492.1817983394189</v>
      </c>
      <c r="L30" s="36">
        <f t="shared" si="2"/>
      </c>
      <c r="M30" s="36">
        <f t="shared" si="3"/>
      </c>
      <c r="N30" s="36">
        <f t="shared" si="4"/>
      </c>
      <c r="O30" s="36">
        <f t="shared" si="5"/>
      </c>
      <c r="P30" s="36">
        <f t="shared" si="6"/>
        <v>282.9343440510513</v>
      </c>
      <c r="Q30" s="36">
        <f>$D$7*($C$22*$D$22+$C$23*$D$23+$C$24*$D$24+$C$25*$D$25)*$D$27*(1+$D$57)^G30*$D$21/1000</f>
        <v>927.4442703458053</v>
      </c>
      <c r="R30" s="36">
        <f t="shared" si="8"/>
        <v>1702.5604127362756</v>
      </c>
      <c r="S30" s="36">
        <f t="shared" si="9"/>
        <v>1037.7631305021287</v>
      </c>
    </row>
    <row r="31" spans="2:19" ht="12.75">
      <c r="B31" s="18"/>
      <c r="C31" s="4"/>
      <c r="D31" s="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23" ht="12.75">
      <c r="B32" s="18" t="s">
        <v>7</v>
      </c>
      <c r="C32" s="4"/>
      <c r="D32" s="20">
        <v>30</v>
      </c>
      <c r="H32" s="2"/>
      <c r="I32" s="2"/>
      <c r="J32" s="2"/>
      <c r="K32" s="2"/>
      <c r="L32" s="2"/>
      <c r="M32" s="2"/>
      <c r="N32" s="2"/>
      <c r="O32" s="2"/>
      <c r="P32" s="100" t="s">
        <v>52</v>
      </c>
      <c r="Q32" s="100"/>
      <c r="R32" s="2">
        <f>SUM(R4:R16)</f>
        <v>10392.124665538442</v>
      </c>
      <c r="S32" s="66">
        <f>SUM(S4:S16)</f>
        <v>9344.76985547496</v>
      </c>
      <c r="W32" s="2">
        <f>SUM(W4:W16)</f>
        <v>45120</v>
      </c>
    </row>
    <row r="33" spans="2:23" ht="12.75">
      <c r="B33" s="18" t="s">
        <v>11</v>
      </c>
      <c r="C33" s="4"/>
      <c r="D33" s="20">
        <v>10</v>
      </c>
      <c r="H33" s="2"/>
      <c r="I33" s="2"/>
      <c r="J33" s="2"/>
      <c r="K33" s="2"/>
      <c r="L33" s="2"/>
      <c r="M33" s="2"/>
      <c r="N33" s="2"/>
      <c r="O33" s="2"/>
      <c r="P33" s="100" t="s">
        <v>47</v>
      </c>
      <c r="Q33" s="100"/>
      <c r="R33" s="2">
        <f>SUM(R5:R29)</f>
        <v>23800.895427997853</v>
      </c>
      <c r="S33" s="66">
        <f>SUM(S5:S29)</f>
        <v>18772.91030931601</v>
      </c>
      <c r="W33" s="2">
        <f>SUM(W5:W29)</f>
        <v>94000</v>
      </c>
    </row>
    <row r="34" spans="2:17" ht="12.75">
      <c r="B34" s="18" t="s">
        <v>62</v>
      </c>
      <c r="C34" s="4"/>
      <c r="D34" s="20">
        <v>15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9" ht="12.75">
      <c r="B35" s="18" t="s">
        <v>12</v>
      </c>
      <c r="C35" s="4"/>
      <c r="D35" s="20">
        <v>3</v>
      </c>
      <c r="H35" s="2"/>
      <c r="I35" s="2"/>
      <c r="J35" s="2"/>
      <c r="K35" s="2"/>
      <c r="L35" s="2"/>
      <c r="M35" s="2"/>
      <c r="N35" s="2"/>
      <c r="O35" s="2"/>
      <c r="P35" s="2"/>
      <c r="Q35" s="3"/>
      <c r="S35" s="2"/>
    </row>
    <row r="36" spans="2:17" ht="12.75">
      <c r="B36" s="18" t="s">
        <v>13</v>
      </c>
      <c r="C36" s="4"/>
      <c r="D36" s="20">
        <v>7</v>
      </c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2.75">
      <c r="B37" s="18" t="s">
        <v>14</v>
      </c>
      <c r="C37" s="4"/>
      <c r="D37" s="20">
        <v>5</v>
      </c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4" ht="12.75">
      <c r="B38" s="21" t="s">
        <v>15</v>
      </c>
      <c r="C38" s="22"/>
      <c r="D38" s="23">
        <v>3</v>
      </c>
    </row>
    <row r="41" spans="2:4" ht="12.75">
      <c r="B41" s="15" t="s">
        <v>8</v>
      </c>
      <c r="C41" s="16"/>
      <c r="D41" s="17"/>
    </row>
    <row r="42" spans="2:4" ht="12.75">
      <c r="B42" s="18"/>
      <c r="C42" s="4"/>
      <c r="D42" s="19"/>
    </row>
    <row r="43" spans="2:4" ht="12.75">
      <c r="B43" s="18" t="s">
        <v>9</v>
      </c>
      <c r="C43" s="4"/>
      <c r="D43" s="20">
        <v>3</v>
      </c>
    </row>
    <row r="44" spans="2:4" ht="12.75">
      <c r="B44" s="21" t="s">
        <v>10</v>
      </c>
      <c r="C44" s="22"/>
      <c r="D44" s="23">
        <v>3</v>
      </c>
    </row>
    <row r="45" ht="12.75">
      <c r="D45" s="1"/>
    </row>
    <row r="46" ht="12.75">
      <c r="D46" s="1"/>
    </row>
    <row r="47" spans="2:4" ht="12.75">
      <c r="B47" s="15" t="s">
        <v>44</v>
      </c>
      <c r="C47" s="16"/>
      <c r="D47" s="24"/>
    </row>
    <row r="48" spans="2:4" ht="12.75">
      <c r="B48" s="18"/>
      <c r="C48" s="4"/>
      <c r="D48" s="20"/>
    </row>
    <row r="49" spans="2:4" ht="12.75">
      <c r="B49" s="18" t="s">
        <v>19</v>
      </c>
      <c r="C49" s="4"/>
      <c r="D49" s="20">
        <v>90</v>
      </c>
    </row>
    <row r="50" spans="2:4" ht="12.75">
      <c r="B50" s="21" t="s">
        <v>20</v>
      </c>
      <c r="C50" s="22"/>
      <c r="D50" s="23">
        <v>120</v>
      </c>
    </row>
    <row r="53" spans="2:4" ht="12.75">
      <c r="B53" s="15" t="s">
        <v>21</v>
      </c>
      <c r="C53" s="16"/>
      <c r="D53" s="17"/>
    </row>
    <row r="54" spans="2:4" ht="12.75">
      <c r="B54" s="18"/>
      <c r="C54" s="4"/>
      <c r="D54" s="19"/>
    </row>
    <row r="55" spans="2:4" ht="12.75">
      <c r="B55" s="18" t="s">
        <v>22</v>
      </c>
      <c r="C55" s="4"/>
      <c r="D55" s="25">
        <v>0.02</v>
      </c>
    </row>
    <row r="56" spans="2:4" ht="12.75">
      <c r="B56" s="18" t="s">
        <v>34</v>
      </c>
      <c r="C56" s="4"/>
      <c r="D56" s="25">
        <v>0.015</v>
      </c>
    </row>
    <row r="57" spans="2:4" ht="12.75">
      <c r="B57" s="18" t="s">
        <v>35</v>
      </c>
      <c r="C57" s="4"/>
      <c r="D57" s="25">
        <v>0.015</v>
      </c>
    </row>
    <row r="58" spans="2:4" ht="12.75">
      <c r="B58" s="18" t="s">
        <v>38</v>
      </c>
      <c r="C58" s="4"/>
      <c r="D58" s="25">
        <v>0.015</v>
      </c>
    </row>
    <row r="59" spans="2:4" ht="12.75">
      <c r="B59" s="18"/>
      <c r="C59" s="4"/>
      <c r="D59" s="19"/>
    </row>
    <row r="60" spans="2:4" ht="12.75">
      <c r="B60" s="21" t="s">
        <v>50</v>
      </c>
      <c r="C60" s="22"/>
      <c r="D60" s="26">
        <v>0.02</v>
      </c>
    </row>
    <row r="62" ht="13.5" thickBot="1"/>
    <row r="63" spans="2:4" ht="13.5" thickBot="1">
      <c r="B63" s="75" t="s">
        <v>48</v>
      </c>
      <c r="C63" s="76"/>
      <c r="D63" s="77">
        <v>0</v>
      </c>
    </row>
  </sheetData>
  <sheetProtection/>
  <mergeCells count="4">
    <mergeCell ref="K2:O2"/>
    <mergeCell ref="H2:J2"/>
    <mergeCell ref="P33:Q33"/>
    <mergeCell ref="P32:Q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63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2.140625" style="0" customWidth="1"/>
    <col min="2" max="2" width="37.57421875" style="0" customWidth="1"/>
    <col min="3" max="3" width="6.421875" style="0" customWidth="1"/>
    <col min="4" max="4" width="9.00390625" style="0" customWidth="1"/>
    <col min="5" max="5" width="6.8515625" style="0" customWidth="1"/>
    <col min="6" max="6" width="6.421875" style="0" customWidth="1"/>
    <col min="7" max="7" width="6.57421875" style="0" customWidth="1"/>
    <col min="8" max="8" width="9.421875" style="0" customWidth="1"/>
    <col min="9" max="9" width="11.7109375" style="0" customWidth="1"/>
    <col min="10" max="10" width="10.57421875" style="0" customWidth="1"/>
    <col min="13" max="13" width="11.00390625" style="0" customWidth="1"/>
    <col min="14" max="14" width="10.421875" style="0" customWidth="1"/>
    <col min="16" max="16" width="14.28125" style="0" customWidth="1"/>
    <col min="17" max="17" width="17.28125" style="0" customWidth="1"/>
    <col min="19" max="19" width="12.7109375" style="0" customWidth="1"/>
    <col min="21" max="22" width="11.421875" style="0" hidden="1" customWidth="1"/>
  </cols>
  <sheetData>
    <row r="1" ht="13.5" thickBot="1"/>
    <row r="2" spans="6:19" ht="12.75">
      <c r="F2" s="30"/>
      <c r="G2" s="31" t="s">
        <v>24</v>
      </c>
      <c r="H2" s="97" t="s">
        <v>31</v>
      </c>
      <c r="I2" s="98"/>
      <c r="J2" s="99"/>
      <c r="K2" s="94" t="s">
        <v>37</v>
      </c>
      <c r="L2" s="95"/>
      <c r="M2" s="95"/>
      <c r="N2" s="95"/>
      <c r="O2" s="96"/>
      <c r="P2" s="55" t="s">
        <v>32</v>
      </c>
      <c r="Q2" s="58" t="s">
        <v>33</v>
      </c>
      <c r="R2" s="61" t="s">
        <v>45</v>
      </c>
      <c r="S2" s="31" t="s">
        <v>46</v>
      </c>
    </row>
    <row r="3" spans="2:23" ht="39" thickBot="1">
      <c r="B3" s="78" t="s">
        <v>59</v>
      </c>
      <c r="F3" s="34"/>
      <c r="G3" s="35"/>
      <c r="H3" s="50" t="s">
        <v>0</v>
      </c>
      <c r="I3" s="39" t="s">
        <v>25</v>
      </c>
      <c r="J3" s="71" t="s">
        <v>27</v>
      </c>
      <c r="K3" s="67" t="s">
        <v>36</v>
      </c>
      <c r="L3" s="46" t="s">
        <v>28</v>
      </c>
      <c r="M3" s="46" t="s">
        <v>29</v>
      </c>
      <c r="N3" s="46" t="s">
        <v>30</v>
      </c>
      <c r="O3" s="51" t="s">
        <v>26</v>
      </c>
      <c r="P3" s="82"/>
      <c r="Q3" s="83"/>
      <c r="R3" s="34"/>
      <c r="S3" s="35"/>
      <c r="W3" s="79" t="s">
        <v>49</v>
      </c>
    </row>
    <row r="4" spans="6:19" ht="12.75">
      <c r="F4" s="37"/>
      <c r="G4" s="38"/>
      <c r="H4" s="40"/>
      <c r="I4" s="41"/>
      <c r="J4" s="72"/>
      <c r="K4" s="68"/>
      <c r="L4" s="47"/>
      <c r="M4" s="47"/>
      <c r="N4" s="47"/>
      <c r="O4" s="52"/>
      <c r="P4" s="80"/>
      <c r="Q4" s="81"/>
      <c r="R4" s="37"/>
      <c r="S4" s="38"/>
    </row>
    <row r="5" spans="2:23" ht="12.75">
      <c r="B5" s="15" t="s">
        <v>3</v>
      </c>
      <c r="C5" s="16"/>
      <c r="D5" s="17"/>
      <c r="F5" s="32">
        <f>2014+G5</f>
        <v>2014</v>
      </c>
      <c r="G5" s="33">
        <v>0</v>
      </c>
      <c r="H5" s="42">
        <f aca="true" t="shared" si="0" ref="H5:H29">IF($D$9=0,"",IF(MOD(($D$10-G5),$D$10)=0,$D$7*$D$9*(1+$D$56)^G5,""))</f>
        <v>2700</v>
      </c>
      <c r="I5" s="43">
        <f>IF(H5&lt;&gt;0,IF(H6="",IF(H5="",IF(MOD(($D$13-G5),$D$13)=0,$D$7*$D$12*(1+$D$56)^G5,""),""),""),"")</f>
      </c>
      <c r="J5" s="73">
        <f>IF($D$15&lt;&gt;0,IF(G5&lt;&gt;0,IF(H6="",IF(H5="",IF(MOD(($D$16-G5),$D$16)=0,$D$7*$D$15*(1+$D$56)^G5,""),""),""),""),"")</f>
      </c>
      <c r="K5" s="69">
        <f>IF(H5&lt;&gt;"",$D$7*$D$50*$D$34/60*(1+$D$55)^G5,"")</f>
        <v>300</v>
      </c>
      <c r="L5" s="48">
        <f>IF(I5&lt;&gt;"",$D$7*$D$50*$D$35/60*(1+$D$55)^G5,"")</f>
      </c>
      <c r="M5" s="48">
        <f>IF(J5&lt;&gt;"",$D$7*$D$50*$D$36/60*(1+$D$55)^G5,"")</f>
      </c>
      <c r="N5" s="48">
        <f aca="true" t="shared" si="1" ref="N5:N30">IF(H6="",IF(H5="",IF(MOD(($D$43-G5),$D$43)=0,$D$7*$D$37/60*$D$50*(1+$D$55)^G5,""),""),"")</f>
      </c>
      <c r="O5" s="53">
        <f aca="true" t="shared" si="2" ref="O5:O30">IF(H6="",IF(H5="",IF(MOD(($D$44-G5),$D$44)=0,$D$7*$D$38/60*$D$50*(1+$D$55)^G5,""),""),"")</f>
      </c>
      <c r="P5" s="56">
        <f>IF(K5&lt;&gt;"",($D$7*$D$49*$D$33/60+$D$49*$D$32/60)*(1+$D$58)^G5,IF(L5&lt;&gt;"",($D$7*$D$49*$D$33/60+$D$49*$D$32/60)*(1+$D$58)^G5,IF(M5&lt;&gt;"",($D$7*$D$49*$D$33/60+$D$49*$D$32/60)*(1+$D$58)^G5,IF(N5&lt;&gt;"",($D$7*$D$49*$D$33/60+$D$49*$D$32/60)*(1+$D$58)^G5,IF(O5&lt;&gt;"",($D$7*$D$49*$D$33/60+$D$49*$D$32/60)*(1+$D$58)^G5,"")))))</f>
        <v>195</v>
      </c>
      <c r="Q5" s="59">
        <f>IF(U5&gt;0,$D$7*($C$22*$D$22+$C$23*$D$23+$C$24*$D$24+$C$25*$D$25)*$D$27*(1+$D$57)^G5*$D$21/1000/((1+$D$63)^V5),$D$7*($C$22*$D$22+$C$23*$D$23+$C$24*$D$24+$C$25*$D$25)*$D$27*(1+$D$57)^G5*$D$21/1000)</f>
        <v>234.09</v>
      </c>
      <c r="R5" s="62">
        <f>SUM(H5:Q5)</f>
        <v>3429.09</v>
      </c>
      <c r="S5" s="63">
        <f>R5/(1+$D$60)^G5</f>
        <v>3429.09</v>
      </c>
      <c r="U5">
        <f>IF(L5="",U4,U4+1)</f>
        <v>0</v>
      </c>
      <c r="V5">
        <f>IF(L5="",V4,G4+1)</f>
        <v>0</v>
      </c>
      <c r="W5" s="2">
        <f>IF(U5&gt;0,$D$7*($C$22*$D$22+$C$23*$D$23+$C$24*$D$24+$C$25*$D$25)*$D$21/1000/((1+$D$63)^V5),$D$7*($C$22*$D$22+$C$23*$D$23+$C$24*$D$24+$C$25*$D$25)*$D$21/1000)</f>
        <v>1377</v>
      </c>
    </row>
    <row r="6" spans="2:23" ht="12.75">
      <c r="B6" s="27"/>
      <c r="C6" s="4"/>
      <c r="D6" s="19"/>
      <c r="F6" s="32">
        <f aca="true" t="shared" si="3" ref="F6:F30">2014+G6</f>
        <v>2015</v>
      </c>
      <c r="G6" s="33">
        <f aca="true" t="shared" si="4" ref="G6:G30">G5+1</f>
        <v>1</v>
      </c>
      <c r="H6" s="42">
        <f t="shared" si="0"/>
      </c>
      <c r="I6" s="43">
        <f aca="true" t="shared" si="5" ref="I6:I29">IF(H6&lt;&gt;0,IF(H7="",IF(H6="",IF(MOD(($D$13-G6),$D$13)=0,$D$7*$D$12*(1+$D$56)^G6,""),""),""),"")</f>
      </c>
      <c r="J6" s="73">
        <f aca="true" t="shared" si="6" ref="J6:J29">IF($D$15&lt;&gt;0,IF(G6&lt;&gt;0,IF(H7="",IF(H6="",IF(MOD(($D$16-G6),$D$16)=0,$D$7*$D$15*(1+$D$56)^G6,""),""),""),""),"")</f>
      </c>
      <c r="K6" s="69">
        <f aca="true" t="shared" si="7" ref="K6:K30">IF(H6&lt;&gt;"",$D$7*$D$50*$D$34/60*(1+$D$55)^G6,"")</f>
      </c>
      <c r="L6" s="48">
        <f aca="true" t="shared" si="8" ref="L6:L30">IF(I6&lt;&gt;"",$D$7*$D$50*$D$35/60*(1+$D$55)^G6,"")</f>
      </c>
      <c r="M6" s="48">
        <f aca="true" t="shared" si="9" ref="M6:M30">IF(J6&lt;&gt;"",$D$7*$D$50*$D$36/60*(1+$D$55)^G6,"")</f>
      </c>
      <c r="N6" s="48">
        <f t="shared" si="1"/>
      </c>
      <c r="O6" s="53">
        <f t="shared" si="2"/>
      </c>
      <c r="P6" s="56">
        <f aca="true" t="shared" si="10" ref="P6:P30">IF(K6&lt;&gt;"",($D$7*$D$49*$D$33/60+$D$49*$D$32/60)*(1+$D$58)^G6,IF(L6&lt;&gt;"",($D$7*$D$49*$D$33/60+$D$49*$D$32/60)*(1+$D$58)^G6,IF(M6&lt;&gt;"",($D$7*$D$49*$D$33/60+$D$49*$D$32/60)*(1+$D$58)^G6,IF(N6&lt;&gt;"",($D$7*$D$49*$D$33/60+$D$49*$D$32/60)*(1+$D$58)^G6,IF(O6&lt;&gt;"",($D$7*$D$49*$D$33/60+$D$49*$D$32/60)*(1+$D$58)^G6,"")))))</f>
      </c>
      <c r="Q6" s="59">
        <f aca="true" t="shared" si="11" ref="Q6:Q29">IF(U6&gt;0,$D$7*($C$22*$D$22+$C$23*$D$23+$C$24*$D$24+$C$25*$D$25)*$D$27*(1+$D$57)^G6*$D$21/1000/((1+$D$63)^V6),$D$7*($C$22*$D$22+$C$23*$D$23+$C$24*$D$24+$C$25*$D$25)*$D$27*(1+$D$57)^G6*$D$21/1000)</f>
        <v>237.60134999999997</v>
      </c>
      <c r="R6" s="62">
        <f aca="true" t="shared" si="12" ref="R6:R30">SUM(H6:Q6)</f>
        <v>237.60134999999997</v>
      </c>
      <c r="S6" s="63">
        <f aca="true" t="shared" si="13" ref="S6:S30">R6/(1+$D$60)^G6</f>
        <v>232.94249999999997</v>
      </c>
      <c r="U6">
        <f aca="true" t="shared" si="14" ref="U6:U29">IF(L6="",U5,U5+1)</f>
        <v>0</v>
      </c>
      <c r="V6">
        <f aca="true" t="shared" si="15" ref="V6:V29">IF(L6="",V5,G5+1)</f>
        <v>0</v>
      </c>
      <c r="W6" s="2">
        <f aca="true" t="shared" si="16" ref="W6:W29">IF(U6&gt;0,$D$7*($C$22*$D$22+$C$23*$D$23+$C$24*$D$24+$C$25*$D$25)*$D$21/1000/((1+$D$63)^V6),$D$7*($C$22*$D$22+$C$23*$D$23+$C$24*$D$24+$C$25*$D$25)*$D$21/1000)</f>
        <v>1377</v>
      </c>
    </row>
    <row r="7" spans="2:23" ht="12.75">
      <c r="B7" s="28" t="s">
        <v>23</v>
      </c>
      <c r="C7" s="4"/>
      <c r="D7" s="19">
        <v>10</v>
      </c>
      <c r="F7" s="32">
        <f t="shared" si="3"/>
        <v>2016</v>
      </c>
      <c r="G7" s="33">
        <f t="shared" si="4"/>
        <v>2</v>
      </c>
      <c r="H7" s="42">
        <f t="shared" si="0"/>
      </c>
      <c r="I7" s="43">
        <f t="shared" si="5"/>
      </c>
      <c r="J7" s="73">
        <f t="shared" si="6"/>
      </c>
      <c r="K7" s="69">
        <f t="shared" si="7"/>
      </c>
      <c r="L7" s="48">
        <f t="shared" si="8"/>
      </c>
      <c r="M7" s="48">
        <f t="shared" si="9"/>
      </c>
      <c r="N7" s="48">
        <f t="shared" si="1"/>
      </c>
      <c r="O7" s="53">
        <f t="shared" si="2"/>
      </c>
      <c r="P7" s="56">
        <f t="shared" si="10"/>
      </c>
      <c r="Q7" s="59">
        <f t="shared" si="11"/>
        <v>241.1653702499999</v>
      </c>
      <c r="R7" s="62">
        <f t="shared" si="12"/>
        <v>241.1653702499999</v>
      </c>
      <c r="S7" s="63">
        <f t="shared" si="13"/>
        <v>231.8006249999999</v>
      </c>
      <c r="U7">
        <f t="shared" si="14"/>
        <v>0</v>
      </c>
      <c r="V7">
        <f t="shared" si="15"/>
        <v>0</v>
      </c>
      <c r="W7" s="2">
        <f t="shared" si="16"/>
        <v>1377</v>
      </c>
    </row>
    <row r="8" spans="2:23" ht="12.75">
      <c r="B8" s="18"/>
      <c r="C8" s="4"/>
      <c r="D8" s="19"/>
      <c r="F8" s="32">
        <f t="shared" si="3"/>
        <v>2017</v>
      </c>
      <c r="G8" s="33">
        <f t="shared" si="4"/>
        <v>3</v>
      </c>
      <c r="H8" s="42">
        <f t="shared" si="0"/>
      </c>
      <c r="I8" s="43">
        <f t="shared" si="5"/>
      </c>
      <c r="J8" s="73">
        <f t="shared" si="6"/>
      </c>
      <c r="K8" s="69">
        <f t="shared" si="7"/>
      </c>
      <c r="L8" s="48">
        <f t="shared" si="8"/>
      </c>
      <c r="M8" s="48">
        <f t="shared" si="9"/>
      </c>
      <c r="N8" s="48">
        <f t="shared" si="1"/>
      </c>
      <c r="O8" s="53">
        <f t="shared" si="2"/>
      </c>
      <c r="P8" s="56">
        <f t="shared" si="10"/>
      </c>
      <c r="Q8" s="59">
        <f t="shared" si="11"/>
        <v>244.78285080374994</v>
      </c>
      <c r="R8" s="62">
        <f t="shared" si="12"/>
        <v>244.78285080374994</v>
      </c>
      <c r="S8" s="63">
        <f t="shared" si="13"/>
        <v>230.66434742647056</v>
      </c>
      <c r="U8">
        <f t="shared" si="14"/>
        <v>0</v>
      </c>
      <c r="V8">
        <f t="shared" si="15"/>
        <v>0</v>
      </c>
      <c r="W8" s="2">
        <f t="shared" si="16"/>
        <v>1377</v>
      </c>
    </row>
    <row r="9" spans="2:23" ht="12.75">
      <c r="B9" s="18" t="s">
        <v>55</v>
      </c>
      <c r="C9" s="4"/>
      <c r="D9" s="19">
        <v>270</v>
      </c>
      <c r="F9" s="32">
        <f t="shared" si="3"/>
        <v>2018</v>
      </c>
      <c r="G9" s="33">
        <f t="shared" si="4"/>
        <v>4</v>
      </c>
      <c r="H9" s="42">
        <f t="shared" si="0"/>
      </c>
      <c r="I9" s="43">
        <f t="shared" si="5"/>
      </c>
      <c r="J9" s="73">
        <f t="shared" si="6"/>
      </c>
      <c r="K9" s="69">
        <f t="shared" si="7"/>
      </c>
      <c r="L9" s="48">
        <f t="shared" si="8"/>
      </c>
      <c r="M9" s="48">
        <f t="shared" si="9"/>
      </c>
      <c r="N9" s="48">
        <f t="shared" si="1"/>
        <v>108.243216</v>
      </c>
      <c r="O9" s="53">
        <f t="shared" si="2"/>
        <v>64.9459296</v>
      </c>
      <c r="P9" s="56">
        <f t="shared" si="10"/>
        <v>206.9658923718749</v>
      </c>
      <c r="Q9" s="59">
        <f t="shared" si="11"/>
        <v>248.4545935658061</v>
      </c>
      <c r="R9" s="62">
        <f t="shared" si="12"/>
        <v>628.609631537681</v>
      </c>
      <c r="S9" s="63">
        <f t="shared" si="13"/>
        <v>580.738132852299</v>
      </c>
      <c r="U9">
        <f t="shared" si="14"/>
        <v>0</v>
      </c>
      <c r="V9">
        <f t="shared" si="15"/>
        <v>0</v>
      </c>
      <c r="W9" s="2">
        <f t="shared" si="16"/>
        <v>1377</v>
      </c>
    </row>
    <row r="10" spans="2:23" ht="12.75">
      <c r="B10" s="18" t="s">
        <v>16</v>
      </c>
      <c r="C10" s="4"/>
      <c r="D10" s="19">
        <v>25</v>
      </c>
      <c r="F10" s="32">
        <f t="shared" si="3"/>
        <v>2019</v>
      </c>
      <c r="G10" s="33">
        <f t="shared" si="4"/>
        <v>5</v>
      </c>
      <c r="H10" s="42">
        <f t="shared" si="0"/>
      </c>
      <c r="I10" s="43">
        <f t="shared" si="5"/>
      </c>
      <c r="J10" s="73">
        <f t="shared" si="6"/>
      </c>
      <c r="K10" s="69">
        <f t="shared" si="7"/>
      </c>
      <c r="L10" s="48">
        <f t="shared" si="8"/>
      </c>
      <c r="M10" s="48">
        <f t="shared" si="9"/>
      </c>
      <c r="N10" s="48">
        <f t="shared" si="1"/>
      </c>
      <c r="O10" s="53">
        <f t="shared" si="2"/>
      </c>
      <c r="P10" s="56">
        <f t="shared" si="10"/>
      </c>
      <c r="Q10" s="59">
        <f t="shared" si="11"/>
        <v>252.1814124692932</v>
      </c>
      <c r="R10" s="62">
        <f t="shared" si="12"/>
        <v>252.1814124692932</v>
      </c>
      <c r="S10" s="63">
        <f t="shared" si="13"/>
        <v>228.408474939865</v>
      </c>
      <c r="U10">
        <f t="shared" si="14"/>
        <v>0</v>
      </c>
      <c r="V10">
        <f t="shared" si="15"/>
        <v>0</v>
      </c>
      <c r="W10" s="2">
        <f t="shared" si="16"/>
        <v>1377</v>
      </c>
    </row>
    <row r="11" spans="2:23" ht="12.75">
      <c r="B11" s="18"/>
      <c r="C11" s="4"/>
      <c r="D11" s="19"/>
      <c r="F11" s="32">
        <f t="shared" si="3"/>
        <v>2020</v>
      </c>
      <c r="G11" s="33">
        <f t="shared" si="4"/>
        <v>6</v>
      </c>
      <c r="H11" s="42">
        <f t="shared" si="0"/>
      </c>
      <c r="I11" s="43">
        <f t="shared" si="5"/>
        <v>492.04946877418786</v>
      </c>
      <c r="J11" s="73">
        <f t="shared" si="6"/>
      </c>
      <c r="K11" s="69">
        <f t="shared" si="7"/>
      </c>
      <c r="L11" s="48">
        <f t="shared" si="8"/>
        <v>67.56974515584001</v>
      </c>
      <c r="M11" s="48">
        <f t="shared" si="9"/>
      </c>
      <c r="N11" s="48">
        <f t="shared" si="1"/>
      </c>
      <c r="O11" s="53">
        <f t="shared" si="2"/>
      </c>
      <c r="P11" s="56">
        <f t="shared" si="10"/>
        <v>213.22143646881474</v>
      </c>
      <c r="Q11" s="59">
        <f t="shared" si="11"/>
        <v>255.9641336563325</v>
      </c>
      <c r="R11" s="62">
        <f t="shared" si="12"/>
        <v>1028.804784055175</v>
      </c>
      <c r="S11" s="63">
        <f t="shared" si="13"/>
        <v>913.5492060972406</v>
      </c>
      <c r="U11">
        <f t="shared" si="14"/>
        <v>1</v>
      </c>
      <c r="V11">
        <f t="shared" si="15"/>
        <v>6</v>
      </c>
      <c r="W11" s="2">
        <f t="shared" si="16"/>
        <v>1377</v>
      </c>
    </row>
    <row r="12" spans="2:23" ht="12.75">
      <c r="B12" s="18" t="s">
        <v>1</v>
      </c>
      <c r="C12" s="4"/>
      <c r="D12" s="19">
        <v>45</v>
      </c>
      <c r="F12" s="32">
        <f t="shared" si="3"/>
        <v>2021</v>
      </c>
      <c r="G12" s="33">
        <f t="shared" si="4"/>
        <v>7</v>
      </c>
      <c r="H12" s="42">
        <f t="shared" si="0"/>
      </c>
      <c r="I12" s="43">
        <f t="shared" si="5"/>
      </c>
      <c r="J12" s="73">
        <f t="shared" si="6"/>
      </c>
      <c r="K12" s="69">
        <f t="shared" si="7"/>
      </c>
      <c r="L12" s="48">
        <f t="shared" si="8"/>
      </c>
      <c r="M12" s="48">
        <f t="shared" si="9"/>
      </c>
      <c r="N12" s="48">
        <f t="shared" si="1"/>
      </c>
      <c r="O12" s="53">
        <f t="shared" si="2"/>
      </c>
      <c r="P12" s="56">
        <f t="shared" si="10"/>
      </c>
      <c r="Q12" s="59">
        <f t="shared" si="11"/>
        <v>259.8035956611775</v>
      </c>
      <c r="R12" s="62">
        <f t="shared" si="12"/>
        <v>259.8035956611775</v>
      </c>
      <c r="S12" s="63">
        <f t="shared" si="13"/>
        <v>226.17466464333177</v>
      </c>
      <c r="U12">
        <f t="shared" si="14"/>
        <v>1</v>
      </c>
      <c r="V12">
        <f t="shared" si="15"/>
        <v>6</v>
      </c>
      <c r="W12" s="2">
        <f t="shared" si="16"/>
        <v>1377</v>
      </c>
    </row>
    <row r="13" spans="2:23" ht="12.75">
      <c r="B13" s="18" t="s">
        <v>17</v>
      </c>
      <c r="C13" s="4"/>
      <c r="D13" s="19">
        <v>6</v>
      </c>
      <c r="F13" s="32">
        <f t="shared" si="3"/>
        <v>2022</v>
      </c>
      <c r="G13" s="33">
        <f t="shared" si="4"/>
        <v>8</v>
      </c>
      <c r="H13" s="42">
        <f t="shared" si="0"/>
      </c>
      <c r="I13" s="43">
        <f t="shared" si="5"/>
      </c>
      <c r="J13" s="73">
        <f t="shared" si="6"/>
      </c>
      <c r="K13" s="69">
        <f t="shared" si="7"/>
      </c>
      <c r="L13" s="48">
        <f t="shared" si="8"/>
      </c>
      <c r="M13" s="48">
        <f t="shared" si="9"/>
      </c>
      <c r="N13" s="48">
        <f t="shared" si="1"/>
        <v>117.16593810022655</v>
      </c>
      <c r="O13" s="53">
        <f t="shared" si="2"/>
        <v>70.29956286013594</v>
      </c>
      <c r="P13" s="56">
        <f t="shared" si="10"/>
        <v>219.66605438608462</v>
      </c>
      <c r="Q13" s="59">
        <f t="shared" si="11"/>
        <v>263.70064959609516</v>
      </c>
      <c r="R13" s="62">
        <f t="shared" si="12"/>
        <v>670.8322049425423</v>
      </c>
      <c r="S13" s="63">
        <f t="shared" si="13"/>
        <v>572.5488276026914</v>
      </c>
      <c r="U13">
        <f t="shared" si="14"/>
        <v>1</v>
      </c>
      <c r="V13">
        <f t="shared" si="15"/>
        <v>6</v>
      </c>
      <c r="W13" s="2">
        <f t="shared" si="16"/>
        <v>1377</v>
      </c>
    </row>
    <row r="14" spans="2:23" ht="12.75">
      <c r="B14" s="18"/>
      <c r="C14" s="4"/>
      <c r="D14" s="19"/>
      <c r="F14" s="32">
        <f t="shared" si="3"/>
        <v>2023</v>
      </c>
      <c r="G14" s="33">
        <f t="shared" si="4"/>
        <v>9</v>
      </c>
      <c r="H14" s="42">
        <f t="shared" si="0"/>
      </c>
      <c r="I14" s="43">
        <f t="shared" si="5"/>
      </c>
      <c r="J14" s="73">
        <f t="shared" si="6"/>
      </c>
      <c r="K14" s="69">
        <f t="shared" si="7"/>
      </c>
      <c r="L14" s="48">
        <f t="shared" si="8"/>
      </c>
      <c r="M14" s="48">
        <f t="shared" si="9"/>
      </c>
      <c r="N14" s="48">
        <f t="shared" si="1"/>
      </c>
      <c r="O14" s="53">
        <f t="shared" si="2"/>
      </c>
      <c r="P14" s="56">
        <f t="shared" si="10"/>
      </c>
      <c r="Q14" s="59">
        <f t="shared" si="11"/>
        <v>267.6561593400365</v>
      </c>
      <c r="R14" s="62">
        <f t="shared" si="12"/>
        <v>267.6561593400365</v>
      </c>
      <c r="S14" s="63">
        <f t="shared" si="13"/>
        <v>223.96270077102685</v>
      </c>
      <c r="U14">
        <f t="shared" si="14"/>
        <v>1</v>
      </c>
      <c r="V14">
        <f t="shared" si="15"/>
        <v>6</v>
      </c>
      <c r="W14" s="2">
        <f t="shared" si="16"/>
        <v>1377</v>
      </c>
    </row>
    <row r="15" spans="2:23" ht="12.75">
      <c r="B15" s="18" t="s">
        <v>2</v>
      </c>
      <c r="C15" s="4"/>
      <c r="D15" s="19">
        <v>60</v>
      </c>
      <c r="F15" s="32">
        <f t="shared" si="3"/>
        <v>2024</v>
      </c>
      <c r="G15" s="33">
        <f t="shared" si="4"/>
        <v>10</v>
      </c>
      <c r="H15" s="42">
        <f t="shared" si="0"/>
      </c>
      <c r="I15" s="43">
        <f t="shared" si="5"/>
      </c>
      <c r="J15" s="73">
        <f t="shared" si="6"/>
      </c>
      <c r="K15" s="69">
        <f t="shared" si="7"/>
      </c>
      <c r="L15" s="48">
        <f t="shared" si="8"/>
      </c>
      <c r="M15" s="48">
        <f t="shared" si="9"/>
      </c>
      <c r="N15" s="48">
        <f t="shared" si="1"/>
      </c>
      <c r="O15" s="53">
        <f t="shared" si="2"/>
      </c>
      <c r="P15" s="56">
        <f t="shared" si="10"/>
      </c>
      <c r="Q15" s="59">
        <f t="shared" si="11"/>
        <v>271.67100173013705</v>
      </c>
      <c r="R15" s="62">
        <f t="shared" si="12"/>
        <v>271.67100173013705</v>
      </c>
      <c r="S15" s="63">
        <f t="shared" si="13"/>
        <v>222.8648443946983</v>
      </c>
      <c r="U15">
        <f t="shared" si="14"/>
        <v>1</v>
      </c>
      <c r="V15">
        <f t="shared" si="15"/>
        <v>6</v>
      </c>
      <c r="W15" s="2">
        <f t="shared" si="16"/>
        <v>1377</v>
      </c>
    </row>
    <row r="16" spans="2:23" ht="12.75">
      <c r="B16" s="21" t="s">
        <v>18</v>
      </c>
      <c r="C16" s="22"/>
      <c r="D16" s="29">
        <v>12</v>
      </c>
      <c r="F16" s="32">
        <f t="shared" si="3"/>
        <v>2025</v>
      </c>
      <c r="G16" s="33">
        <f t="shared" si="4"/>
        <v>11</v>
      </c>
      <c r="H16" s="42">
        <f t="shared" si="0"/>
      </c>
      <c r="I16" s="43">
        <f t="shared" si="5"/>
      </c>
      <c r="J16" s="73">
        <f t="shared" si="6"/>
      </c>
      <c r="K16" s="69">
        <f t="shared" si="7"/>
      </c>
      <c r="L16" s="48">
        <f t="shared" si="8"/>
      </c>
      <c r="M16" s="48">
        <f t="shared" si="9"/>
      </c>
      <c r="N16" s="48">
        <f t="shared" si="1"/>
      </c>
      <c r="O16" s="53">
        <f t="shared" si="2"/>
      </c>
      <c r="P16" s="56">
        <f t="shared" si="10"/>
      </c>
      <c r="Q16" s="59">
        <f t="shared" si="11"/>
        <v>275.746066756089</v>
      </c>
      <c r="R16" s="62">
        <f t="shared" si="12"/>
        <v>275.746066756089</v>
      </c>
      <c r="S16" s="63">
        <f t="shared" si="13"/>
        <v>221.7723696672733</v>
      </c>
      <c r="U16">
        <f t="shared" si="14"/>
        <v>1</v>
      </c>
      <c r="V16">
        <f t="shared" si="15"/>
        <v>6</v>
      </c>
      <c r="W16" s="2">
        <f t="shared" si="16"/>
        <v>1377</v>
      </c>
    </row>
    <row r="17" spans="6:23" ht="12.75">
      <c r="F17" s="32">
        <f t="shared" si="3"/>
        <v>2026</v>
      </c>
      <c r="G17" s="33">
        <f t="shared" si="4"/>
        <v>12</v>
      </c>
      <c r="H17" s="42">
        <f t="shared" si="0"/>
      </c>
      <c r="I17" s="43">
        <f t="shared" si="5"/>
        <v>538.0281771576899</v>
      </c>
      <c r="J17" s="73">
        <f t="shared" si="6"/>
        <v>717.37090287692</v>
      </c>
      <c r="K17" s="69">
        <f t="shared" si="7"/>
      </c>
      <c r="L17" s="48">
        <f t="shared" si="8"/>
        <v>76.09450767375272</v>
      </c>
      <c r="M17" s="48">
        <f t="shared" si="9"/>
        <v>177.55385123875635</v>
      </c>
      <c r="N17" s="48">
        <f t="shared" si="1"/>
        <v>126.82417945625453</v>
      </c>
      <c r="O17" s="53">
        <f t="shared" si="2"/>
        <v>76.09450767375272</v>
      </c>
      <c r="P17" s="56">
        <f t="shared" si="10"/>
        <v>233.14554343499898</v>
      </c>
      <c r="Q17" s="59">
        <f t="shared" si="11"/>
        <v>279.8822577574303</v>
      </c>
      <c r="R17" s="62">
        <f t="shared" si="12"/>
        <v>2224.9939272695556</v>
      </c>
      <c r="S17" s="63">
        <f t="shared" si="13"/>
        <v>1754.3925273626728</v>
      </c>
      <c r="U17">
        <f t="shared" si="14"/>
        <v>2</v>
      </c>
      <c r="V17">
        <f t="shared" si="15"/>
        <v>12</v>
      </c>
      <c r="W17" s="2">
        <f t="shared" si="16"/>
        <v>1377</v>
      </c>
    </row>
    <row r="18" spans="6:23" ht="12.75">
      <c r="F18" s="32">
        <f t="shared" si="3"/>
        <v>2027</v>
      </c>
      <c r="G18" s="33">
        <f t="shared" si="4"/>
        <v>13</v>
      </c>
      <c r="H18" s="42">
        <f t="shared" si="0"/>
      </c>
      <c r="I18" s="43">
        <f t="shared" si="5"/>
      </c>
      <c r="J18" s="73">
        <f t="shared" si="6"/>
      </c>
      <c r="K18" s="69">
        <f t="shared" si="7"/>
      </c>
      <c r="L18" s="48">
        <f t="shared" si="8"/>
      </c>
      <c r="M18" s="48">
        <f t="shared" si="9"/>
      </c>
      <c r="N18" s="48">
        <f t="shared" si="1"/>
      </c>
      <c r="O18" s="53">
        <f t="shared" si="2"/>
      </c>
      <c r="P18" s="56">
        <f t="shared" si="10"/>
      </c>
      <c r="Q18" s="59">
        <f t="shared" si="11"/>
        <v>284.0804916237918</v>
      </c>
      <c r="R18" s="62">
        <f t="shared" si="12"/>
        <v>284.0804916237918</v>
      </c>
      <c r="S18" s="63">
        <f t="shared" si="13"/>
        <v>219.60345976592328</v>
      </c>
      <c r="U18">
        <f t="shared" si="14"/>
        <v>2</v>
      </c>
      <c r="V18">
        <f t="shared" si="15"/>
        <v>12</v>
      </c>
      <c r="W18" s="2">
        <f t="shared" si="16"/>
        <v>1377</v>
      </c>
    </row>
    <row r="19" spans="2:23" ht="12.75">
      <c r="B19" s="5" t="s">
        <v>39</v>
      </c>
      <c r="C19" s="6"/>
      <c r="D19" s="7"/>
      <c r="F19" s="32">
        <f t="shared" si="3"/>
        <v>2028</v>
      </c>
      <c r="G19" s="33">
        <f t="shared" si="4"/>
        <v>14</v>
      </c>
      <c r="H19" s="42">
        <f t="shared" si="0"/>
      </c>
      <c r="I19" s="43">
        <f t="shared" si="5"/>
      </c>
      <c r="J19" s="73">
        <f t="shared" si="6"/>
      </c>
      <c r="K19" s="69">
        <f t="shared" si="7"/>
      </c>
      <c r="L19" s="48">
        <f t="shared" si="8"/>
      </c>
      <c r="M19" s="48">
        <f t="shared" si="9"/>
      </c>
      <c r="N19" s="48">
        <f t="shared" si="1"/>
      </c>
      <c r="O19" s="53">
        <f t="shared" si="2"/>
      </c>
      <c r="P19" s="56">
        <f t="shared" si="10"/>
      </c>
      <c r="Q19" s="59">
        <f t="shared" si="11"/>
        <v>288.34169899814856</v>
      </c>
      <c r="R19" s="62">
        <f t="shared" si="12"/>
        <v>288.34169899814856</v>
      </c>
      <c r="S19" s="63">
        <f t="shared" si="13"/>
        <v>218.526972218051</v>
      </c>
      <c r="U19">
        <f t="shared" si="14"/>
        <v>2</v>
      </c>
      <c r="V19">
        <f t="shared" si="15"/>
        <v>12</v>
      </c>
      <c r="W19" s="2">
        <f t="shared" si="16"/>
        <v>1377</v>
      </c>
    </row>
    <row r="20" spans="2:23" ht="12.75">
      <c r="B20" s="8"/>
      <c r="C20" s="9"/>
      <c r="D20" s="10"/>
      <c r="F20" s="32">
        <f t="shared" si="3"/>
        <v>2029</v>
      </c>
      <c r="G20" s="33">
        <f t="shared" si="4"/>
        <v>15</v>
      </c>
      <c r="H20" s="42">
        <f t="shared" si="0"/>
      </c>
      <c r="I20" s="43">
        <f t="shared" si="5"/>
      </c>
      <c r="J20" s="73">
        <f t="shared" si="6"/>
      </c>
      <c r="K20" s="69">
        <f t="shared" si="7"/>
      </c>
      <c r="L20" s="48">
        <f t="shared" si="8"/>
      </c>
      <c r="M20" s="48">
        <f t="shared" si="9"/>
      </c>
      <c r="N20" s="48">
        <f t="shared" si="1"/>
      </c>
      <c r="O20" s="53">
        <f t="shared" si="2"/>
      </c>
      <c r="P20" s="56">
        <f t="shared" si="10"/>
      </c>
      <c r="Q20" s="59">
        <f t="shared" si="11"/>
        <v>292.66682448312076</v>
      </c>
      <c r="R20" s="62">
        <f t="shared" si="12"/>
        <v>292.66682448312076</v>
      </c>
      <c r="S20" s="63">
        <f t="shared" si="13"/>
        <v>217.45576156992334</v>
      </c>
      <c r="U20">
        <f t="shared" si="14"/>
        <v>2</v>
      </c>
      <c r="V20">
        <f t="shared" si="15"/>
        <v>12</v>
      </c>
      <c r="W20" s="2">
        <f t="shared" si="16"/>
        <v>1377</v>
      </c>
    </row>
    <row r="21" spans="2:23" ht="12.75">
      <c r="B21" s="8" t="s">
        <v>4</v>
      </c>
      <c r="C21" s="9"/>
      <c r="D21" s="10">
        <v>51</v>
      </c>
      <c r="F21" s="32">
        <f t="shared" si="3"/>
        <v>2030</v>
      </c>
      <c r="G21" s="33">
        <f t="shared" si="4"/>
        <v>16</v>
      </c>
      <c r="H21" s="42">
        <f t="shared" si="0"/>
      </c>
      <c r="I21" s="43">
        <f t="shared" si="5"/>
      </c>
      <c r="J21" s="73">
        <f t="shared" si="6"/>
      </c>
      <c r="K21" s="69">
        <f t="shared" si="7"/>
      </c>
      <c r="L21" s="48">
        <f t="shared" si="8"/>
      </c>
      <c r="M21" s="48">
        <f t="shared" si="9"/>
      </c>
      <c r="N21" s="48">
        <f t="shared" si="1"/>
        <v>137.2785705090612</v>
      </c>
      <c r="O21" s="53">
        <f t="shared" si="2"/>
        <v>82.36714230543672</v>
      </c>
      <c r="P21" s="56">
        <f t="shared" si="10"/>
        <v>247.45218179256554</v>
      </c>
      <c r="Q21" s="59">
        <f t="shared" si="11"/>
        <v>297.05682685036754</v>
      </c>
      <c r="R21" s="62">
        <f t="shared" si="12"/>
        <v>764.154721457431</v>
      </c>
      <c r="S21" s="63">
        <f t="shared" si="13"/>
        <v>556.6453078756325</v>
      </c>
      <c r="U21">
        <f t="shared" si="14"/>
        <v>2</v>
      </c>
      <c r="V21">
        <f t="shared" si="15"/>
        <v>12</v>
      </c>
      <c r="W21" s="2">
        <f t="shared" si="16"/>
        <v>1377</v>
      </c>
    </row>
    <row r="22" spans="2:23" ht="12.75">
      <c r="B22" s="8" t="s">
        <v>40</v>
      </c>
      <c r="C22" s="11">
        <v>1</v>
      </c>
      <c r="D22" s="10">
        <v>1400</v>
      </c>
      <c r="F22" s="32">
        <f t="shared" si="3"/>
        <v>2031</v>
      </c>
      <c r="G22" s="33">
        <f t="shared" si="4"/>
        <v>17</v>
      </c>
      <c r="H22" s="42">
        <f t="shared" si="0"/>
      </c>
      <c r="I22" s="43">
        <f t="shared" si="5"/>
      </c>
      <c r="J22" s="73">
        <f t="shared" si="6"/>
      </c>
      <c r="K22" s="69">
        <f t="shared" si="7"/>
      </c>
      <c r="L22" s="48">
        <f t="shared" si="8"/>
      </c>
      <c r="M22" s="48">
        <f t="shared" si="9"/>
      </c>
      <c r="N22" s="48">
        <f t="shared" si="1"/>
      </c>
      <c r="O22" s="53">
        <f t="shared" si="2"/>
      </c>
      <c r="P22" s="56">
        <f t="shared" si="10"/>
      </c>
      <c r="Q22" s="59">
        <f t="shared" si="11"/>
        <v>301.512679253123</v>
      </c>
      <c r="R22" s="62">
        <f t="shared" si="12"/>
        <v>301.512679253123</v>
      </c>
      <c r="S22" s="63">
        <f t="shared" si="13"/>
        <v>215.32906763107857</v>
      </c>
      <c r="U22">
        <f t="shared" si="14"/>
        <v>2</v>
      </c>
      <c r="V22">
        <f t="shared" si="15"/>
        <v>12</v>
      </c>
      <c r="W22" s="2">
        <f t="shared" si="16"/>
        <v>1377</v>
      </c>
    </row>
    <row r="23" spans="2:23" ht="12.75">
      <c r="B23" s="8" t="s">
        <v>41</v>
      </c>
      <c r="C23" s="11">
        <v>0.75</v>
      </c>
      <c r="D23" s="10"/>
      <c r="F23" s="32">
        <f t="shared" si="3"/>
        <v>2032</v>
      </c>
      <c r="G23" s="33">
        <f t="shared" si="4"/>
        <v>18</v>
      </c>
      <c r="H23" s="42">
        <f t="shared" si="0"/>
      </c>
      <c r="I23" s="43">
        <f t="shared" si="5"/>
        <v>588.3032861244134</v>
      </c>
      <c r="J23" s="73">
        <f t="shared" si="6"/>
      </c>
      <c r="K23" s="69">
        <f t="shared" si="7"/>
      </c>
      <c r="L23" s="48">
        <f t="shared" si="8"/>
        <v>85.69477485457637</v>
      </c>
      <c r="M23" s="48">
        <f t="shared" si="9"/>
      </c>
      <c r="N23" s="48">
        <f t="shared" si="1"/>
      </c>
      <c r="O23" s="53">
        <f t="shared" si="2"/>
      </c>
      <c r="P23" s="56">
        <f t="shared" si="10"/>
        <v>254.93142398724578</v>
      </c>
      <c r="Q23" s="59">
        <f t="shared" si="11"/>
        <v>306.03536944191984</v>
      </c>
      <c r="R23" s="62">
        <f t="shared" si="12"/>
        <v>1234.9648544081554</v>
      </c>
      <c r="S23" s="63">
        <f t="shared" si="13"/>
        <v>864.6722205669261</v>
      </c>
      <c r="U23">
        <f t="shared" si="14"/>
        <v>3</v>
      </c>
      <c r="V23">
        <f t="shared" si="15"/>
        <v>18</v>
      </c>
      <c r="W23" s="2">
        <f t="shared" si="16"/>
        <v>1377</v>
      </c>
    </row>
    <row r="24" spans="2:23" ht="12.75">
      <c r="B24" s="8" t="s">
        <v>42</v>
      </c>
      <c r="C24" s="11">
        <v>0.5</v>
      </c>
      <c r="D24" s="10">
        <v>2600</v>
      </c>
      <c r="F24" s="32">
        <f t="shared" si="3"/>
        <v>2033</v>
      </c>
      <c r="G24" s="33">
        <f t="shared" si="4"/>
        <v>19</v>
      </c>
      <c r="H24" s="42">
        <f t="shared" si="0"/>
      </c>
      <c r="I24" s="43">
        <f t="shared" si="5"/>
      </c>
      <c r="J24" s="73">
        <f t="shared" si="6"/>
      </c>
      <c r="K24" s="69">
        <f t="shared" si="7"/>
      </c>
      <c r="L24" s="48">
        <f t="shared" si="8"/>
      </c>
      <c r="M24" s="48">
        <f t="shared" si="9"/>
      </c>
      <c r="N24" s="48">
        <f t="shared" si="1"/>
      </c>
      <c r="O24" s="53">
        <f t="shared" si="2"/>
      </c>
      <c r="P24" s="56">
        <f t="shared" si="10"/>
      </c>
      <c r="Q24" s="59">
        <f t="shared" si="11"/>
        <v>310.62589998354855</v>
      </c>
      <c r="R24" s="62">
        <f t="shared" si="12"/>
        <v>310.62589998354855</v>
      </c>
      <c r="S24" s="63">
        <f t="shared" si="13"/>
        <v>213.22317253001526</v>
      </c>
      <c r="U24">
        <f t="shared" si="14"/>
        <v>3</v>
      </c>
      <c r="V24">
        <f t="shared" si="15"/>
        <v>18</v>
      </c>
      <c r="W24" s="2">
        <f t="shared" si="16"/>
        <v>1377</v>
      </c>
    </row>
    <row r="25" spans="2:23" ht="12.75">
      <c r="B25" s="8" t="s">
        <v>43</v>
      </c>
      <c r="C25" s="11">
        <v>0.25</v>
      </c>
      <c r="D25" s="10"/>
      <c r="F25" s="32">
        <f t="shared" si="3"/>
        <v>2034</v>
      </c>
      <c r="G25" s="33">
        <f t="shared" si="4"/>
        <v>20</v>
      </c>
      <c r="H25" s="42">
        <f t="shared" si="0"/>
      </c>
      <c r="I25" s="43">
        <f t="shared" si="5"/>
      </c>
      <c r="J25" s="73">
        <f t="shared" si="6"/>
      </c>
      <c r="K25" s="69">
        <f t="shared" si="7"/>
      </c>
      <c r="L25" s="48">
        <f t="shared" si="8"/>
      </c>
      <c r="M25" s="48">
        <f t="shared" si="9"/>
      </c>
      <c r="N25" s="48">
        <f t="shared" si="1"/>
        <v>148.59473959783543</v>
      </c>
      <c r="O25" s="53">
        <f t="shared" si="2"/>
        <v>89.15684375870126</v>
      </c>
      <c r="P25" s="56">
        <f t="shared" si="10"/>
        <v>262.63672627726015</v>
      </c>
      <c r="Q25" s="59">
        <f t="shared" si="11"/>
        <v>315.2852884833017</v>
      </c>
      <c r="R25" s="62">
        <f t="shared" si="12"/>
        <v>815.6735981170985</v>
      </c>
      <c r="S25" s="63">
        <f t="shared" si="13"/>
        <v>548.92494870591</v>
      </c>
      <c r="U25">
        <f t="shared" si="14"/>
        <v>3</v>
      </c>
      <c r="V25">
        <f t="shared" si="15"/>
        <v>18</v>
      </c>
      <c r="W25" s="2">
        <f t="shared" si="16"/>
        <v>1377</v>
      </c>
    </row>
    <row r="26" spans="2:23" ht="12.75">
      <c r="B26" s="8"/>
      <c r="C26" s="9"/>
      <c r="D26" s="10"/>
      <c r="F26" s="32">
        <f t="shared" si="3"/>
        <v>2035</v>
      </c>
      <c r="G26" s="33">
        <f t="shared" si="4"/>
        <v>21</v>
      </c>
      <c r="H26" s="42">
        <f t="shared" si="0"/>
      </c>
      <c r="I26" s="43">
        <f t="shared" si="5"/>
      </c>
      <c r="J26" s="73">
        <f t="shared" si="6"/>
      </c>
      <c r="K26" s="69">
        <f t="shared" si="7"/>
      </c>
      <c r="L26" s="48">
        <f t="shared" si="8"/>
      </c>
      <c r="M26" s="48">
        <f t="shared" si="9"/>
      </c>
      <c r="N26" s="48">
        <f t="shared" si="1"/>
      </c>
      <c r="O26" s="53">
        <f t="shared" si="2"/>
      </c>
      <c r="P26" s="56">
        <f t="shared" si="10"/>
      </c>
      <c r="Q26" s="59">
        <f t="shared" si="11"/>
        <v>320.0145678105512</v>
      </c>
      <c r="R26" s="62">
        <f t="shared" si="12"/>
        <v>320.0145678105512</v>
      </c>
      <c r="S26" s="63">
        <f t="shared" si="13"/>
        <v>211.13787285633884</v>
      </c>
      <c r="U26">
        <f t="shared" si="14"/>
        <v>3</v>
      </c>
      <c r="V26">
        <f t="shared" si="15"/>
        <v>18</v>
      </c>
      <c r="W26" s="2">
        <f t="shared" si="16"/>
        <v>1377</v>
      </c>
    </row>
    <row r="27" spans="2:23" ht="12.75">
      <c r="B27" s="12" t="s">
        <v>5</v>
      </c>
      <c r="C27" s="13"/>
      <c r="D27" s="14">
        <v>0.17</v>
      </c>
      <c r="F27" s="32">
        <f t="shared" si="3"/>
        <v>2036</v>
      </c>
      <c r="G27" s="33">
        <f t="shared" si="4"/>
        <v>22</v>
      </c>
      <c r="H27" s="42">
        <f t="shared" si="0"/>
      </c>
      <c r="I27" s="43">
        <f t="shared" si="5"/>
      </c>
      <c r="J27" s="73">
        <f t="shared" si="6"/>
      </c>
      <c r="K27" s="69">
        <f t="shared" si="7"/>
      </c>
      <c r="L27" s="48">
        <f t="shared" si="8"/>
      </c>
      <c r="M27" s="48">
        <f t="shared" si="9"/>
      </c>
      <c r="N27" s="48">
        <f t="shared" si="1"/>
      </c>
      <c r="O27" s="53">
        <f t="shared" si="2"/>
      </c>
      <c r="P27" s="56">
        <f t="shared" si="10"/>
      </c>
      <c r="Q27" s="59">
        <f t="shared" si="11"/>
        <v>324.81478632770944</v>
      </c>
      <c r="R27" s="62">
        <f t="shared" si="12"/>
        <v>324.81478632770944</v>
      </c>
      <c r="S27" s="63">
        <f t="shared" si="13"/>
        <v>210.1028832835136</v>
      </c>
      <c r="U27">
        <f t="shared" si="14"/>
        <v>3</v>
      </c>
      <c r="V27">
        <f t="shared" si="15"/>
        <v>18</v>
      </c>
      <c r="W27" s="2">
        <f t="shared" si="16"/>
        <v>1377</v>
      </c>
    </row>
    <row r="28" spans="6:23" ht="12.75">
      <c r="F28" s="32">
        <f t="shared" si="3"/>
        <v>2037</v>
      </c>
      <c r="G28" s="33">
        <f t="shared" si="4"/>
        <v>23</v>
      </c>
      <c r="H28" s="42">
        <f t="shared" si="0"/>
      </c>
      <c r="I28" s="43">
        <f t="shared" si="5"/>
      </c>
      <c r="J28" s="73">
        <f t="shared" si="6"/>
      </c>
      <c r="K28" s="69">
        <f t="shared" si="7"/>
      </c>
      <c r="L28" s="48">
        <f t="shared" si="8"/>
      </c>
      <c r="M28" s="48">
        <f t="shared" si="9"/>
      </c>
      <c r="N28" s="48">
        <f t="shared" si="1"/>
      </c>
      <c r="O28" s="53">
        <f t="shared" si="2"/>
      </c>
      <c r="P28" s="56">
        <f t="shared" si="10"/>
      </c>
      <c r="Q28" s="59">
        <f t="shared" si="11"/>
        <v>329.687008122625</v>
      </c>
      <c r="R28" s="62">
        <f t="shared" si="12"/>
        <v>329.687008122625</v>
      </c>
      <c r="S28" s="63">
        <f t="shared" si="13"/>
        <v>209.07296718898655</v>
      </c>
      <c r="U28">
        <f t="shared" si="14"/>
        <v>3</v>
      </c>
      <c r="V28">
        <f t="shared" si="15"/>
        <v>18</v>
      </c>
      <c r="W28" s="2">
        <f t="shared" si="16"/>
        <v>1377</v>
      </c>
    </row>
    <row r="29" spans="6:23" ht="13.5" thickBot="1">
      <c r="F29" s="34">
        <f t="shared" si="3"/>
        <v>2038</v>
      </c>
      <c r="G29" s="35">
        <f t="shared" si="4"/>
        <v>24</v>
      </c>
      <c r="H29" s="44">
        <f t="shared" si="0"/>
      </c>
      <c r="I29" s="45">
        <f t="shared" si="5"/>
      </c>
      <c r="J29" s="74">
        <f t="shared" si="6"/>
      </c>
      <c r="K29" s="70">
        <f t="shared" si="7"/>
      </c>
      <c r="L29" s="49">
        <f t="shared" si="8"/>
      </c>
      <c r="M29" s="49">
        <f t="shared" si="9"/>
      </c>
      <c r="N29" s="49">
        <f t="shared" si="1"/>
      </c>
      <c r="O29" s="54">
        <f t="shared" si="2"/>
      </c>
      <c r="P29" s="57">
        <f t="shared" si="10"/>
      </c>
      <c r="Q29" s="60">
        <f t="shared" si="11"/>
        <v>334.63231324446434</v>
      </c>
      <c r="R29" s="64">
        <f t="shared" si="12"/>
        <v>334.63231324446434</v>
      </c>
      <c r="S29" s="65">
        <f t="shared" si="13"/>
        <v>208.048099702766</v>
      </c>
      <c r="U29">
        <f t="shared" si="14"/>
        <v>3</v>
      </c>
      <c r="V29">
        <f t="shared" si="15"/>
        <v>18</v>
      </c>
      <c r="W29" s="2">
        <f t="shared" si="16"/>
        <v>1377</v>
      </c>
    </row>
    <row r="30" spans="2:19" ht="12.75">
      <c r="B30" s="15" t="s">
        <v>6</v>
      </c>
      <c r="C30" s="16"/>
      <c r="D30" s="17"/>
      <c r="F30" s="36">
        <f t="shared" si="3"/>
        <v>2039</v>
      </c>
      <c r="G30" s="36">
        <f t="shared" si="4"/>
        <v>25</v>
      </c>
      <c r="H30" s="36">
        <f>IF(MOD(($D$10-G30),$D$10)=0,$D$7*$D$9*(1+$D$56)^G30,"")</f>
        <v>3917.55245609148</v>
      </c>
      <c r="I30" s="36">
        <f>IF(H31="",IF(H30="",IF(MOD(($D$13-G30),$D$13)=0,$D$7*$D$12*(1+$D$56)^G30,""),""),"")</f>
      </c>
      <c r="J30" s="36">
        <f>IF(H31="",IF(H30="",IF(MOD(($D$16-G30),$D$16)=0,$D$7*$D$15*(1+$D$56)^G30,""),""),"")</f>
      </c>
      <c r="K30" s="36">
        <f t="shared" si="7"/>
        <v>492.1817983394189</v>
      </c>
      <c r="L30" s="36">
        <f t="shared" si="8"/>
      </c>
      <c r="M30" s="36">
        <f t="shared" si="9"/>
      </c>
      <c r="N30" s="36">
        <f t="shared" si="1"/>
      </c>
      <c r="O30" s="36">
        <f t="shared" si="2"/>
      </c>
      <c r="P30" s="36">
        <f t="shared" si="10"/>
        <v>282.9343440510513</v>
      </c>
      <c r="Q30" s="36">
        <f>$D$7*($C$22*$D$22+$C$23*$D$23+$C$24*$D$24+$C$25*$D$25)*$D$27*(1+$D$57)^G30*$D$21/1000</f>
        <v>339.6517979431313</v>
      </c>
      <c r="R30" s="36">
        <f t="shared" si="12"/>
        <v>5032.320396425081</v>
      </c>
      <c r="S30" s="36">
        <f t="shared" si="13"/>
        <v>3067.354632010195</v>
      </c>
    </row>
    <row r="31" spans="2:19" ht="12.75">
      <c r="B31" s="18"/>
      <c r="C31" s="4"/>
      <c r="D31" s="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23" ht="12.75">
      <c r="B32" s="18" t="s">
        <v>7</v>
      </c>
      <c r="C32" s="4"/>
      <c r="D32" s="20">
        <v>30</v>
      </c>
      <c r="H32" s="2"/>
      <c r="I32" s="2"/>
      <c r="J32" s="2"/>
      <c r="K32" s="2"/>
      <c r="L32" s="2"/>
      <c r="M32" s="2"/>
      <c r="N32" s="2"/>
      <c r="O32" s="2"/>
      <c r="P32" s="100" t="s">
        <v>52</v>
      </c>
      <c r="Q32" s="100"/>
      <c r="R32" s="2">
        <f>SUM(R4:R16)</f>
        <v>7807.944427545882</v>
      </c>
      <c r="S32" s="66">
        <f>SUM(S4:S16)</f>
        <v>7314.516693394897</v>
      </c>
      <c r="W32" s="2">
        <f>SUM(W4:W16)</f>
        <v>16524</v>
      </c>
    </row>
    <row r="33" spans="2:23" ht="12.75">
      <c r="B33" s="18" t="s">
        <v>11</v>
      </c>
      <c r="C33" s="4"/>
      <c r="D33" s="20">
        <v>10</v>
      </c>
      <c r="H33" s="2"/>
      <c r="I33" s="2"/>
      <c r="J33" s="2"/>
      <c r="K33" s="2"/>
      <c r="L33" s="2"/>
      <c r="M33" s="2"/>
      <c r="N33" s="2"/>
      <c r="O33" s="2"/>
      <c r="P33" s="100" t="s">
        <v>47</v>
      </c>
      <c r="Q33" s="100"/>
      <c r="R33" s="2">
        <f>SUM(R5:R29)</f>
        <v>15634.107798645206</v>
      </c>
      <c r="S33" s="66">
        <f>SUM(S5:S29)</f>
        <v>12961.651954652636</v>
      </c>
      <c r="W33" s="2">
        <f>SUM(W5:W29)</f>
        <v>34425</v>
      </c>
    </row>
    <row r="34" spans="2:17" ht="12.75">
      <c r="B34" s="18" t="s">
        <v>62</v>
      </c>
      <c r="C34" s="4"/>
      <c r="D34" s="20">
        <v>15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9" ht="12.75">
      <c r="B35" s="18" t="s">
        <v>12</v>
      </c>
      <c r="C35" s="4"/>
      <c r="D35" s="20">
        <v>3</v>
      </c>
      <c r="H35" s="2"/>
      <c r="I35" s="2"/>
      <c r="J35" s="2"/>
      <c r="K35" s="2"/>
      <c r="L35" s="2"/>
      <c r="M35" s="2"/>
      <c r="N35" s="2"/>
      <c r="O35" s="2"/>
      <c r="P35" s="2"/>
      <c r="Q35" s="3"/>
      <c r="S35" s="2"/>
    </row>
    <row r="36" spans="2:17" ht="12.75">
      <c r="B36" s="18" t="s">
        <v>13</v>
      </c>
      <c r="C36" s="4"/>
      <c r="D36" s="20">
        <v>7</v>
      </c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2.75">
      <c r="B37" s="18" t="s">
        <v>14</v>
      </c>
      <c r="C37" s="4"/>
      <c r="D37" s="20">
        <v>5</v>
      </c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4" ht="12.75">
      <c r="B38" s="21" t="s">
        <v>15</v>
      </c>
      <c r="C38" s="22"/>
      <c r="D38" s="23">
        <v>3</v>
      </c>
    </row>
    <row r="41" spans="2:4" ht="12.75">
      <c r="B41" s="15" t="s">
        <v>8</v>
      </c>
      <c r="C41" s="16"/>
      <c r="D41" s="17"/>
    </row>
    <row r="42" spans="2:4" ht="12.75">
      <c r="B42" s="18"/>
      <c r="C42" s="4"/>
      <c r="D42" s="19"/>
    </row>
    <row r="43" spans="2:4" ht="12.75">
      <c r="B43" s="18" t="s">
        <v>9</v>
      </c>
      <c r="C43" s="4"/>
      <c r="D43" s="20">
        <v>4</v>
      </c>
    </row>
    <row r="44" spans="2:4" ht="12.75">
      <c r="B44" s="21" t="s">
        <v>10</v>
      </c>
      <c r="C44" s="22"/>
      <c r="D44" s="23">
        <v>4</v>
      </c>
    </row>
    <row r="45" ht="12.75">
      <c r="D45" s="1"/>
    </row>
    <row r="46" ht="12.75">
      <c r="D46" s="1"/>
    </row>
    <row r="47" spans="2:4" ht="12.75">
      <c r="B47" s="15" t="s">
        <v>44</v>
      </c>
      <c r="C47" s="16"/>
      <c r="D47" s="24"/>
    </row>
    <row r="48" spans="2:4" ht="12.75">
      <c r="B48" s="18"/>
      <c r="C48" s="4"/>
      <c r="D48" s="20"/>
    </row>
    <row r="49" spans="2:4" ht="12.75">
      <c r="B49" s="18" t="s">
        <v>19</v>
      </c>
      <c r="C49" s="4"/>
      <c r="D49" s="20">
        <v>90</v>
      </c>
    </row>
    <row r="50" spans="2:4" ht="12.75">
      <c r="B50" s="21" t="s">
        <v>20</v>
      </c>
      <c r="C50" s="22"/>
      <c r="D50" s="23">
        <v>120</v>
      </c>
    </row>
    <row r="53" spans="2:4" ht="12.75">
      <c r="B53" s="15" t="s">
        <v>21</v>
      </c>
      <c r="C53" s="16"/>
      <c r="D53" s="17"/>
    </row>
    <row r="54" spans="2:4" ht="12.75">
      <c r="B54" s="18"/>
      <c r="C54" s="4"/>
      <c r="D54" s="19"/>
    </row>
    <row r="55" spans="2:4" ht="12.75">
      <c r="B55" s="18" t="s">
        <v>22</v>
      </c>
      <c r="C55" s="4"/>
      <c r="D55" s="25">
        <v>0.02</v>
      </c>
    </row>
    <row r="56" spans="2:4" ht="12.75">
      <c r="B56" s="18" t="s">
        <v>34</v>
      </c>
      <c r="C56" s="4"/>
      <c r="D56" s="25">
        <v>0.015</v>
      </c>
    </row>
    <row r="57" spans="2:4" ht="12.75">
      <c r="B57" s="18" t="s">
        <v>35</v>
      </c>
      <c r="C57" s="4"/>
      <c r="D57" s="25">
        <v>0.015</v>
      </c>
    </row>
    <row r="58" spans="2:4" ht="12.75">
      <c r="B58" s="18" t="s">
        <v>38</v>
      </c>
      <c r="C58" s="4"/>
      <c r="D58" s="25">
        <v>0.015</v>
      </c>
    </row>
    <row r="59" spans="2:4" ht="12.75">
      <c r="B59" s="18"/>
      <c r="C59" s="4"/>
      <c r="D59" s="19"/>
    </row>
    <row r="60" spans="2:4" ht="12.75">
      <c r="B60" s="21" t="s">
        <v>50</v>
      </c>
      <c r="C60" s="22"/>
      <c r="D60" s="26">
        <v>0.02</v>
      </c>
    </row>
    <row r="62" ht="13.5" thickBot="1"/>
    <row r="63" spans="2:4" ht="13.5" thickBot="1">
      <c r="B63" s="75" t="s">
        <v>48</v>
      </c>
      <c r="C63" s="76"/>
      <c r="D63" s="77">
        <v>0</v>
      </c>
    </row>
  </sheetData>
  <sheetProtection/>
  <mergeCells count="4">
    <mergeCell ref="K2:O2"/>
    <mergeCell ref="H2:J2"/>
    <mergeCell ref="P33:Q33"/>
    <mergeCell ref="P32:Q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63"/>
  <sheetViews>
    <sheetView zoomScalePageLayoutView="0" workbookViewId="0" topLeftCell="A10">
      <selection activeCell="I5" sqref="I5:J29"/>
    </sheetView>
  </sheetViews>
  <sheetFormatPr defaultColWidth="11.421875" defaultRowHeight="12.75"/>
  <cols>
    <col min="1" max="1" width="2.140625" style="0" customWidth="1"/>
    <col min="2" max="2" width="37.57421875" style="0" customWidth="1"/>
    <col min="3" max="3" width="6.421875" style="0" customWidth="1"/>
    <col min="4" max="4" width="9.00390625" style="0" customWidth="1"/>
    <col min="5" max="5" width="6.8515625" style="0" customWidth="1"/>
    <col min="6" max="6" width="6.421875" style="0" customWidth="1"/>
    <col min="7" max="7" width="6.57421875" style="0" customWidth="1"/>
    <col min="8" max="8" width="9.421875" style="0" customWidth="1"/>
    <col min="9" max="9" width="11.7109375" style="0" customWidth="1"/>
    <col min="10" max="10" width="10.57421875" style="0" customWidth="1"/>
    <col min="13" max="13" width="11.00390625" style="0" customWidth="1"/>
    <col min="14" max="14" width="10.421875" style="0" customWidth="1"/>
    <col min="16" max="16" width="14.28125" style="0" customWidth="1"/>
    <col min="17" max="17" width="17.28125" style="0" customWidth="1"/>
    <col min="19" max="19" width="12.7109375" style="0" customWidth="1"/>
    <col min="21" max="22" width="0" style="0" hidden="1" customWidth="1"/>
  </cols>
  <sheetData>
    <row r="1" ht="13.5" thickBot="1"/>
    <row r="2" spans="6:19" ht="12.75">
      <c r="F2" s="30"/>
      <c r="G2" s="31" t="s">
        <v>24</v>
      </c>
      <c r="H2" s="97" t="s">
        <v>31</v>
      </c>
      <c r="I2" s="98"/>
      <c r="J2" s="99"/>
      <c r="K2" s="94" t="s">
        <v>37</v>
      </c>
      <c r="L2" s="95"/>
      <c r="M2" s="95"/>
      <c r="N2" s="95"/>
      <c r="O2" s="96"/>
      <c r="P2" s="55" t="s">
        <v>32</v>
      </c>
      <c r="Q2" s="58" t="s">
        <v>33</v>
      </c>
      <c r="R2" s="61" t="s">
        <v>45</v>
      </c>
      <c r="S2" s="31" t="s">
        <v>46</v>
      </c>
    </row>
    <row r="3" spans="2:23" ht="39" thickBot="1">
      <c r="B3" s="78" t="s">
        <v>60</v>
      </c>
      <c r="F3" s="34"/>
      <c r="G3" s="35"/>
      <c r="H3" s="50" t="s">
        <v>0</v>
      </c>
      <c r="I3" s="39" t="s">
        <v>25</v>
      </c>
      <c r="J3" s="71" t="s">
        <v>27</v>
      </c>
      <c r="K3" s="67" t="s">
        <v>36</v>
      </c>
      <c r="L3" s="46" t="s">
        <v>28</v>
      </c>
      <c r="M3" s="46" t="s">
        <v>29</v>
      </c>
      <c r="N3" s="46" t="s">
        <v>30</v>
      </c>
      <c r="O3" s="51" t="s">
        <v>26</v>
      </c>
      <c r="P3" s="82"/>
      <c r="Q3" s="83"/>
      <c r="R3" s="34"/>
      <c r="S3" s="35"/>
      <c r="W3" s="79" t="s">
        <v>49</v>
      </c>
    </row>
    <row r="4" spans="6:19" ht="12.75">
      <c r="F4" s="37"/>
      <c r="G4" s="38"/>
      <c r="H4" s="40"/>
      <c r="I4" s="41"/>
      <c r="J4" s="72"/>
      <c r="K4" s="68"/>
      <c r="L4" s="47"/>
      <c r="M4" s="47"/>
      <c r="N4" s="47"/>
      <c r="O4" s="52"/>
      <c r="P4" s="80"/>
      <c r="Q4" s="81"/>
      <c r="R4" s="37"/>
      <c r="S4" s="38"/>
    </row>
    <row r="5" spans="2:23" ht="12.75">
      <c r="B5" s="15" t="s">
        <v>3</v>
      </c>
      <c r="C5" s="16"/>
      <c r="D5" s="17"/>
      <c r="F5" s="32">
        <f aca="true" t="shared" si="0" ref="F5:F30">2014+G5</f>
        <v>2014</v>
      </c>
      <c r="G5" s="33">
        <v>0</v>
      </c>
      <c r="H5" s="42">
        <f aca="true" t="shared" si="1" ref="H5:H29">IF($D$9=0,"",IF(MOD(($D$10-G5),$D$10)=0,$D$7*$D$9*(1+$D$56)^G5,""))</f>
        <v>2300</v>
      </c>
      <c r="I5" s="43">
        <f>IF(H5&lt;&gt;0,IF(H6="",IF(H5="",IF(MOD(($D$13-G5),$D$13)=0,$D$7*$D$12*(1+$D$56)^G5,""),""),""),"")</f>
      </c>
      <c r="J5" s="73">
        <f>IF($D$15&lt;&gt;0,IF(G5&lt;&gt;0,IF(H6="",IF(H5="",IF(MOD(($D$16-G5),$D$16)=0,$D$7*$D$15*(1+$D$56)^G5,""),""),""),""),"")</f>
      </c>
      <c r="K5" s="69">
        <f aca="true" t="shared" si="2" ref="K5:K30">IF(H5&lt;&gt;"",$D$7*$D$50*$D$34/60*(1+$D$55)^G5,"")</f>
        <v>300</v>
      </c>
      <c r="L5" s="48">
        <f aca="true" t="shared" si="3" ref="L5:L30">IF(I5&lt;&gt;"",$D$7*$D$50*$D$35/60*(1+$D$55)^G5,"")</f>
      </c>
      <c r="M5" s="48">
        <f aca="true" t="shared" si="4" ref="M5:M30">IF(J5&lt;&gt;"",$D$7*$D$50*$D$36/60*(1+$D$55)^G5,"")</f>
      </c>
      <c r="N5" s="48">
        <f aca="true" t="shared" si="5" ref="N5:N30">IF(H6="",IF(H5="",IF(MOD(($D$43-G5),$D$43)=0,$D$7*$D$37/60*$D$50*(1+$D$55)^G5,""),""),"")</f>
      </c>
      <c r="O5" s="53">
        <f aca="true" t="shared" si="6" ref="O5:O30">IF(H6="",IF(H5="",IF(MOD(($D$44-G5),$D$44)=0,$D$7*$D$38/60*$D$50*(1+$D$55)^G5,""),""),"")</f>
      </c>
      <c r="P5" s="56">
        <f aca="true" t="shared" si="7" ref="P5:P30">IF(K5&lt;&gt;"",($D$7*$D$49*$D$33/60+$D$49*$D$32/60)*(1+$D$58)^G5,IF(L5&lt;&gt;"",($D$7*$D$49*$D$33/60+$D$49*$D$32/60)*(1+$D$58)^G5,IF(M5&lt;&gt;"",($D$7*$D$49*$D$33/60+$D$49*$D$32/60)*(1+$D$58)^G5,IF(N5&lt;&gt;"",($D$7*$D$49*$D$33/60+$D$49*$D$32/60)*(1+$D$58)^G5,IF(O5&lt;&gt;"",($D$7*$D$49*$D$33/60+$D$49*$D$32/60)*(1+$D$58)^G5,"")))))</f>
        <v>195</v>
      </c>
      <c r="Q5" s="59">
        <f aca="true" t="shared" si="8" ref="Q5:Q29">IF(U5&gt;0,$D$7*($C$22*$D$22+$C$23*$D$23+$C$24*$D$24+$C$25*$D$25)*$D$27*(1+$D$57)^G5*$D$21/1000/((1+$D$63)^V5),$D$7*($C$22*$D$22+$C$23*$D$23+$C$24*$D$24+$C$25*$D$25)*$D$27*(1+$D$57)^G5*$D$21/1000)</f>
        <v>266.22</v>
      </c>
      <c r="R5" s="62">
        <f aca="true" t="shared" si="9" ref="R5:R30">SUM(H5:Q5)</f>
        <v>3061.2200000000003</v>
      </c>
      <c r="S5" s="63">
        <f aca="true" t="shared" si="10" ref="S5:S30">R5/(1+$D$60)^G5</f>
        <v>3061.2200000000003</v>
      </c>
      <c r="U5">
        <f aca="true" t="shared" si="11" ref="U5:U29">IF(L5="",U4,U4+1)</f>
        <v>0</v>
      </c>
      <c r="V5">
        <f aca="true" t="shared" si="12" ref="V5:V29">IF(L5="",V4,G4+1)</f>
        <v>0</v>
      </c>
      <c r="W5" s="2">
        <f aca="true" t="shared" si="13" ref="W5:W29">IF(U5&gt;0,$D$7*($C$22*$D$22+$C$23*$D$23+$C$24*$D$24+$C$25*$D$25)*$D$21/1000/((1+$D$63)^V5),$D$7*($C$22*$D$22+$C$23*$D$23+$C$24*$D$24+$C$25*$D$25)*$D$21/1000)</f>
        <v>1566</v>
      </c>
    </row>
    <row r="6" spans="2:23" ht="12.75">
      <c r="B6" s="27"/>
      <c r="C6" s="4"/>
      <c r="D6" s="19"/>
      <c r="F6" s="32">
        <f t="shared" si="0"/>
        <v>2015</v>
      </c>
      <c r="G6" s="33">
        <f aca="true" t="shared" si="14" ref="G6:G30">G5+1</f>
        <v>1</v>
      </c>
      <c r="H6" s="42">
        <f t="shared" si="1"/>
      </c>
      <c r="I6" s="43">
        <f aca="true" t="shared" si="15" ref="I6:I29">IF(H6&lt;&gt;0,IF(H7="",IF(H6="",IF(MOD(($D$13-G6),$D$13)=0,$D$7*$D$12*(1+$D$56)^G6,""),""),""),"")</f>
      </c>
      <c r="J6" s="73">
        <f aca="true" t="shared" si="16" ref="J6:J29">IF($D$15&lt;&gt;0,IF(G6&lt;&gt;0,IF(H7="",IF(H6="",IF(MOD(($D$16-G6),$D$16)=0,$D$7*$D$15*(1+$D$56)^G6,""),""),""),""),"")</f>
      </c>
      <c r="K6" s="69">
        <f t="shared" si="2"/>
      </c>
      <c r="L6" s="48">
        <f t="shared" si="3"/>
      </c>
      <c r="M6" s="48">
        <f t="shared" si="4"/>
      </c>
      <c r="N6" s="48">
        <f t="shared" si="5"/>
      </c>
      <c r="O6" s="53">
        <f t="shared" si="6"/>
      </c>
      <c r="P6" s="56">
        <f t="shared" si="7"/>
      </c>
      <c r="Q6" s="59">
        <f t="shared" si="8"/>
        <v>270.2133</v>
      </c>
      <c r="R6" s="62">
        <f t="shared" si="9"/>
        <v>270.2133</v>
      </c>
      <c r="S6" s="63">
        <f t="shared" si="10"/>
        <v>264.915</v>
      </c>
      <c r="U6">
        <f t="shared" si="11"/>
        <v>0</v>
      </c>
      <c r="V6">
        <f t="shared" si="12"/>
        <v>0</v>
      </c>
      <c r="W6" s="2">
        <f t="shared" si="13"/>
        <v>1566</v>
      </c>
    </row>
    <row r="7" spans="2:23" ht="12.75">
      <c r="B7" s="28" t="s">
        <v>23</v>
      </c>
      <c r="C7" s="4"/>
      <c r="D7" s="19">
        <v>10</v>
      </c>
      <c r="F7" s="32">
        <f t="shared" si="0"/>
        <v>2016</v>
      </c>
      <c r="G7" s="33">
        <f t="shared" si="14"/>
        <v>2</v>
      </c>
      <c r="H7" s="42">
        <f t="shared" si="1"/>
      </c>
      <c r="I7" s="43">
        <f t="shared" si="15"/>
      </c>
      <c r="J7" s="73">
        <f t="shared" si="16"/>
      </c>
      <c r="K7" s="69">
        <f t="shared" si="2"/>
      </c>
      <c r="L7" s="48">
        <f t="shared" si="3"/>
      </c>
      <c r="M7" s="48">
        <f t="shared" si="4"/>
      </c>
      <c r="N7" s="48">
        <f t="shared" si="5"/>
      </c>
      <c r="O7" s="53">
        <f t="shared" si="6"/>
      </c>
      <c r="P7" s="56">
        <f t="shared" si="7"/>
      </c>
      <c r="Q7" s="59">
        <f t="shared" si="8"/>
        <v>274.2664994999999</v>
      </c>
      <c r="R7" s="62">
        <f t="shared" si="9"/>
        <v>274.2664994999999</v>
      </c>
      <c r="S7" s="63">
        <f t="shared" si="10"/>
        <v>263.61639705882345</v>
      </c>
      <c r="U7">
        <f t="shared" si="11"/>
        <v>0</v>
      </c>
      <c r="V7">
        <f t="shared" si="12"/>
        <v>0</v>
      </c>
      <c r="W7" s="2">
        <f t="shared" si="13"/>
        <v>1566</v>
      </c>
    </row>
    <row r="8" spans="2:23" ht="12.75">
      <c r="B8" s="18"/>
      <c r="C8" s="4"/>
      <c r="D8" s="19"/>
      <c r="F8" s="32">
        <f t="shared" si="0"/>
        <v>2017</v>
      </c>
      <c r="G8" s="33">
        <f t="shared" si="14"/>
        <v>3</v>
      </c>
      <c r="H8" s="42">
        <f t="shared" si="1"/>
      </c>
      <c r="I8" s="43">
        <f t="shared" si="15"/>
      </c>
      <c r="J8" s="73">
        <f t="shared" si="16"/>
      </c>
      <c r="K8" s="69">
        <f t="shared" si="2"/>
      </c>
      <c r="L8" s="48">
        <f t="shared" si="3"/>
      </c>
      <c r="M8" s="48">
        <f t="shared" si="4"/>
      </c>
      <c r="N8" s="48">
        <f t="shared" si="5"/>
      </c>
      <c r="O8" s="53">
        <f t="shared" si="6"/>
      </c>
      <c r="P8" s="56">
        <f t="shared" si="7"/>
      </c>
      <c r="Q8" s="59">
        <f t="shared" si="8"/>
        <v>278.3804969924999</v>
      </c>
      <c r="R8" s="62">
        <f t="shared" si="9"/>
        <v>278.3804969924999</v>
      </c>
      <c r="S8" s="63">
        <f t="shared" si="10"/>
        <v>262.324159818339</v>
      </c>
      <c r="U8">
        <f t="shared" si="11"/>
        <v>0</v>
      </c>
      <c r="V8">
        <f t="shared" si="12"/>
        <v>0</v>
      </c>
      <c r="W8" s="2">
        <f t="shared" si="13"/>
        <v>1566</v>
      </c>
    </row>
    <row r="9" spans="2:23" ht="12.75">
      <c r="B9" s="18" t="s">
        <v>55</v>
      </c>
      <c r="C9" s="4"/>
      <c r="D9" s="19">
        <v>230</v>
      </c>
      <c r="F9" s="32">
        <f t="shared" si="0"/>
        <v>2018</v>
      </c>
      <c r="G9" s="33">
        <f t="shared" si="14"/>
        <v>4</v>
      </c>
      <c r="H9" s="42">
        <f t="shared" si="1"/>
      </c>
      <c r="I9" s="43">
        <f t="shared" si="15"/>
      </c>
      <c r="J9" s="73">
        <f t="shared" si="16"/>
      </c>
      <c r="K9" s="69">
        <f t="shared" si="2"/>
      </c>
      <c r="L9" s="48">
        <f t="shared" si="3"/>
      </c>
      <c r="M9" s="48">
        <f t="shared" si="4"/>
      </c>
      <c r="N9" s="48">
        <f t="shared" si="5"/>
        <v>108.243216</v>
      </c>
      <c r="O9" s="53">
        <f t="shared" si="6"/>
        <v>64.9459296</v>
      </c>
      <c r="P9" s="56">
        <f t="shared" si="7"/>
        <v>206.9658923718749</v>
      </c>
      <c r="Q9" s="59">
        <f t="shared" si="8"/>
        <v>282.5562044473873</v>
      </c>
      <c r="R9" s="62">
        <f t="shared" si="9"/>
        <v>662.7112424192621</v>
      </c>
      <c r="S9" s="63">
        <f t="shared" si="10"/>
        <v>612.2427500853838</v>
      </c>
      <c r="U9">
        <f t="shared" si="11"/>
        <v>0</v>
      </c>
      <c r="V9">
        <f t="shared" si="12"/>
        <v>0</v>
      </c>
      <c r="W9" s="2">
        <f t="shared" si="13"/>
        <v>1566</v>
      </c>
    </row>
    <row r="10" spans="2:23" ht="12.75">
      <c r="B10" s="18" t="s">
        <v>16</v>
      </c>
      <c r="C10" s="4"/>
      <c r="D10" s="19">
        <v>25</v>
      </c>
      <c r="F10" s="32">
        <f t="shared" si="0"/>
        <v>2019</v>
      </c>
      <c r="G10" s="33">
        <f t="shared" si="14"/>
        <v>5</v>
      </c>
      <c r="H10" s="42">
        <f t="shared" si="1"/>
      </c>
      <c r="I10" s="43">
        <f t="shared" si="15"/>
      </c>
      <c r="J10" s="73">
        <f t="shared" si="16"/>
      </c>
      <c r="K10" s="69">
        <f t="shared" si="2"/>
      </c>
      <c r="L10" s="48">
        <f t="shared" si="3"/>
      </c>
      <c r="M10" s="48">
        <f t="shared" si="4"/>
      </c>
      <c r="N10" s="48">
        <f t="shared" si="5"/>
      </c>
      <c r="O10" s="53">
        <f t="shared" si="6"/>
      </c>
      <c r="P10" s="56">
        <f t="shared" si="7"/>
      </c>
      <c r="Q10" s="59">
        <f t="shared" si="8"/>
        <v>286.7945475140981</v>
      </c>
      <c r="R10" s="62">
        <f t="shared" si="9"/>
        <v>286.7945475140981</v>
      </c>
      <c r="S10" s="63">
        <f t="shared" si="10"/>
        <v>259.7586577747484</v>
      </c>
      <c r="U10">
        <f t="shared" si="11"/>
        <v>0</v>
      </c>
      <c r="V10">
        <f t="shared" si="12"/>
        <v>0</v>
      </c>
      <c r="W10" s="2">
        <f t="shared" si="13"/>
        <v>1566</v>
      </c>
    </row>
    <row r="11" spans="2:23" ht="12.75">
      <c r="B11" s="18"/>
      <c r="C11" s="4"/>
      <c r="D11" s="19"/>
      <c r="F11" s="32">
        <f t="shared" si="0"/>
        <v>2020</v>
      </c>
      <c r="G11" s="33">
        <f t="shared" si="14"/>
        <v>6</v>
      </c>
      <c r="H11" s="42">
        <f t="shared" si="1"/>
      </c>
      <c r="I11" s="43">
        <f t="shared" si="15"/>
      </c>
      <c r="J11" s="73">
        <f t="shared" si="16"/>
      </c>
      <c r="K11" s="69">
        <f t="shared" si="2"/>
      </c>
      <c r="L11" s="48">
        <f t="shared" si="3"/>
      </c>
      <c r="M11" s="48">
        <f t="shared" si="4"/>
      </c>
      <c r="N11" s="48">
        <f t="shared" si="5"/>
      </c>
      <c r="O11" s="53">
        <f t="shared" si="6"/>
      </c>
      <c r="P11" s="56">
        <f t="shared" si="7"/>
      </c>
      <c r="Q11" s="59">
        <f t="shared" si="8"/>
        <v>291.0964657268095</v>
      </c>
      <c r="R11" s="62">
        <f t="shared" si="9"/>
        <v>291.0964657268095</v>
      </c>
      <c r="S11" s="63">
        <f t="shared" si="10"/>
        <v>258.4853310209505</v>
      </c>
      <c r="U11">
        <f t="shared" si="11"/>
        <v>0</v>
      </c>
      <c r="V11">
        <f t="shared" si="12"/>
        <v>0</v>
      </c>
      <c r="W11" s="2">
        <f t="shared" si="13"/>
        <v>1566</v>
      </c>
    </row>
    <row r="12" spans="2:23" ht="12.75">
      <c r="B12" s="18" t="s">
        <v>1</v>
      </c>
      <c r="C12" s="4"/>
      <c r="D12" s="19">
        <v>18</v>
      </c>
      <c r="F12" s="32">
        <f t="shared" si="0"/>
        <v>2021</v>
      </c>
      <c r="G12" s="33">
        <f t="shared" si="14"/>
        <v>7</v>
      </c>
      <c r="H12" s="42">
        <f t="shared" si="1"/>
      </c>
      <c r="I12" s="43">
        <f t="shared" si="15"/>
      </c>
      <c r="J12" s="73">
        <f t="shared" si="16"/>
      </c>
      <c r="K12" s="69">
        <f t="shared" si="2"/>
      </c>
      <c r="L12" s="48">
        <f t="shared" si="3"/>
      </c>
      <c r="M12" s="48">
        <f t="shared" si="4"/>
      </c>
      <c r="N12" s="48">
        <f t="shared" si="5"/>
      </c>
      <c r="O12" s="53">
        <f t="shared" si="6"/>
      </c>
      <c r="P12" s="56">
        <f t="shared" si="7"/>
      </c>
      <c r="Q12" s="59">
        <f t="shared" si="8"/>
        <v>295.46291271271167</v>
      </c>
      <c r="R12" s="62">
        <f t="shared" si="9"/>
        <v>295.46291271271167</v>
      </c>
      <c r="S12" s="63">
        <f t="shared" si="10"/>
        <v>257.2182460649655</v>
      </c>
      <c r="U12">
        <f t="shared" si="11"/>
        <v>0</v>
      </c>
      <c r="V12">
        <f t="shared" si="12"/>
        <v>0</v>
      </c>
      <c r="W12" s="2">
        <f t="shared" si="13"/>
        <v>1566</v>
      </c>
    </row>
    <row r="13" spans="2:23" ht="12.75">
      <c r="B13" s="18" t="s">
        <v>17</v>
      </c>
      <c r="C13" s="4"/>
      <c r="D13" s="19">
        <v>12</v>
      </c>
      <c r="F13" s="32">
        <f t="shared" si="0"/>
        <v>2022</v>
      </c>
      <c r="G13" s="33">
        <f t="shared" si="14"/>
        <v>8</v>
      </c>
      <c r="H13" s="42">
        <f t="shared" si="1"/>
      </c>
      <c r="I13" s="43">
        <f t="shared" si="15"/>
      </c>
      <c r="J13" s="73">
        <f t="shared" si="16"/>
      </c>
      <c r="K13" s="69">
        <f t="shared" si="2"/>
      </c>
      <c r="L13" s="48">
        <f t="shared" si="3"/>
      </c>
      <c r="M13" s="48">
        <f t="shared" si="4"/>
      </c>
      <c r="N13" s="48">
        <f t="shared" si="5"/>
        <v>117.16593810022655</v>
      </c>
      <c r="O13" s="53">
        <f t="shared" si="6"/>
        <v>70.29956286013594</v>
      </c>
      <c r="P13" s="56">
        <f t="shared" si="7"/>
        <v>219.66605438608462</v>
      </c>
      <c r="Q13" s="59">
        <f t="shared" si="8"/>
        <v>299.8948564034023</v>
      </c>
      <c r="R13" s="62">
        <f t="shared" si="9"/>
        <v>707.0264117498493</v>
      </c>
      <c r="S13" s="63">
        <f t="shared" si="10"/>
        <v>603.4402346055916</v>
      </c>
      <c r="U13">
        <f t="shared" si="11"/>
        <v>0</v>
      </c>
      <c r="V13">
        <f t="shared" si="12"/>
        <v>0</v>
      </c>
      <c r="W13" s="2">
        <f t="shared" si="13"/>
        <v>1566</v>
      </c>
    </row>
    <row r="14" spans="2:23" ht="12.75">
      <c r="B14" s="18"/>
      <c r="C14" s="4"/>
      <c r="D14" s="19"/>
      <c r="F14" s="32">
        <f t="shared" si="0"/>
        <v>2023</v>
      </c>
      <c r="G14" s="33">
        <f t="shared" si="14"/>
        <v>9</v>
      </c>
      <c r="H14" s="42">
        <f t="shared" si="1"/>
      </c>
      <c r="I14" s="43">
        <f t="shared" si="15"/>
      </c>
      <c r="J14" s="73">
        <f t="shared" si="16"/>
      </c>
      <c r="K14" s="69">
        <f t="shared" si="2"/>
      </c>
      <c r="L14" s="48">
        <f t="shared" si="3"/>
      </c>
      <c r="M14" s="48">
        <f t="shared" si="4"/>
      </c>
      <c r="N14" s="48">
        <f t="shared" si="5"/>
      </c>
      <c r="O14" s="53">
        <f t="shared" si="6"/>
      </c>
      <c r="P14" s="56">
        <f t="shared" si="7"/>
      </c>
      <c r="Q14" s="59">
        <f t="shared" si="8"/>
        <v>304.39327924945326</v>
      </c>
      <c r="R14" s="62">
        <f t="shared" si="9"/>
        <v>304.39327924945326</v>
      </c>
      <c r="S14" s="63">
        <f t="shared" si="10"/>
        <v>254.70267930822664</v>
      </c>
      <c r="U14">
        <f t="shared" si="11"/>
        <v>0</v>
      </c>
      <c r="V14">
        <f t="shared" si="12"/>
        <v>0</v>
      </c>
      <c r="W14" s="2">
        <f t="shared" si="13"/>
        <v>1566</v>
      </c>
    </row>
    <row r="15" spans="2:23" ht="12.75">
      <c r="B15" s="18" t="s">
        <v>2</v>
      </c>
      <c r="C15" s="4"/>
      <c r="D15" s="19">
        <v>20</v>
      </c>
      <c r="F15" s="32">
        <f t="shared" si="0"/>
        <v>2024</v>
      </c>
      <c r="G15" s="33">
        <f t="shared" si="14"/>
        <v>10</v>
      </c>
      <c r="H15" s="42">
        <f t="shared" si="1"/>
      </c>
      <c r="I15" s="43">
        <f t="shared" si="15"/>
      </c>
      <c r="J15" s="73">
        <f t="shared" si="16"/>
      </c>
      <c r="K15" s="69">
        <f t="shared" si="2"/>
      </c>
      <c r="L15" s="48">
        <f t="shared" si="3"/>
      </c>
      <c r="M15" s="48">
        <f t="shared" si="4"/>
      </c>
      <c r="N15" s="48">
        <f t="shared" si="5"/>
      </c>
      <c r="O15" s="53">
        <f t="shared" si="6"/>
      </c>
      <c r="P15" s="56">
        <f t="shared" si="7"/>
      </c>
      <c r="Q15" s="59">
        <f t="shared" si="8"/>
        <v>308.959178438195</v>
      </c>
      <c r="R15" s="62">
        <f t="shared" si="9"/>
        <v>308.959178438195</v>
      </c>
      <c r="S15" s="63">
        <f t="shared" si="10"/>
        <v>253.454136762598</v>
      </c>
      <c r="U15">
        <f t="shared" si="11"/>
        <v>0</v>
      </c>
      <c r="V15">
        <f t="shared" si="12"/>
        <v>0</v>
      </c>
      <c r="W15" s="2">
        <f t="shared" si="13"/>
        <v>1566</v>
      </c>
    </row>
    <row r="16" spans="2:23" ht="12.75">
      <c r="B16" s="21" t="s">
        <v>18</v>
      </c>
      <c r="C16" s="22"/>
      <c r="D16" s="29">
        <v>25</v>
      </c>
      <c r="F16" s="32">
        <f t="shared" si="0"/>
        <v>2025</v>
      </c>
      <c r="G16" s="33">
        <f t="shared" si="14"/>
        <v>11</v>
      </c>
      <c r="H16" s="42">
        <f t="shared" si="1"/>
      </c>
      <c r="I16" s="43">
        <f t="shared" si="15"/>
      </c>
      <c r="J16" s="73">
        <f t="shared" si="16"/>
      </c>
      <c r="K16" s="69">
        <f t="shared" si="2"/>
      </c>
      <c r="L16" s="48">
        <f t="shared" si="3"/>
      </c>
      <c r="M16" s="48">
        <f t="shared" si="4"/>
      </c>
      <c r="N16" s="48">
        <f t="shared" si="5"/>
      </c>
      <c r="O16" s="53">
        <f t="shared" si="6"/>
      </c>
      <c r="P16" s="56">
        <f t="shared" si="7"/>
      </c>
      <c r="Q16" s="59">
        <f t="shared" si="8"/>
        <v>313.5935661147679</v>
      </c>
      <c r="R16" s="62">
        <f t="shared" si="9"/>
        <v>313.5935661147679</v>
      </c>
      <c r="S16" s="63">
        <f t="shared" si="10"/>
        <v>252.2117145235657</v>
      </c>
      <c r="U16">
        <f t="shared" si="11"/>
        <v>0</v>
      </c>
      <c r="V16">
        <f t="shared" si="12"/>
        <v>0</v>
      </c>
      <c r="W16" s="2">
        <f t="shared" si="13"/>
        <v>1566</v>
      </c>
    </row>
    <row r="17" spans="6:23" ht="12.75">
      <c r="F17" s="32">
        <f t="shared" si="0"/>
        <v>2026</v>
      </c>
      <c r="G17" s="33">
        <f t="shared" si="14"/>
        <v>12</v>
      </c>
      <c r="H17" s="42">
        <f t="shared" si="1"/>
      </c>
      <c r="I17" s="43">
        <f t="shared" si="15"/>
        <v>215.21127086307598</v>
      </c>
      <c r="J17" s="73">
        <f t="shared" si="16"/>
      </c>
      <c r="K17" s="69">
        <f t="shared" si="2"/>
      </c>
      <c r="L17" s="48">
        <f t="shared" si="3"/>
        <v>76.09450767375272</v>
      </c>
      <c r="M17" s="48">
        <f t="shared" si="4"/>
      </c>
      <c r="N17" s="48">
        <f t="shared" si="5"/>
        <v>126.82417945625453</v>
      </c>
      <c r="O17" s="53">
        <f t="shared" si="6"/>
        <v>76.09450767375272</v>
      </c>
      <c r="P17" s="56">
        <f t="shared" si="7"/>
        <v>233.14554343499898</v>
      </c>
      <c r="Q17" s="59">
        <f t="shared" si="8"/>
        <v>318.29746960648936</v>
      </c>
      <c r="R17" s="62">
        <f t="shared" si="9"/>
        <v>1045.6674787083243</v>
      </c>
      <c r="S17" s="63">
        <f t="shared" si="10"/>
        <v>824.5016708891907</v>
      </c>
      <c r="U17">
        <f t="shared" si="11"/>
        <v>1</v>
      </c>
      <c r="V17">
        <f t="shared" si="12"/>
        <v>12</v>
      </c>
      <c r="W17" s="2">
        <f t="shared" si="13"/>
        <v>1566</v>
      </c>
    </row>
    <row r="18" spans="6:23" ht="12.75">
      <c r="F18" s="32">
        <f t="shared" si="0"/>
        <v>2027</v>
      </c>
      <c r="G18" s="33">
        <f t="shared" si="14"/>
        <v>13</v>
      </c>
      <c r="H18" s="42">
        <f t="shared" si="1"/>
      </c>
      <c r="I18" s="43">
        <f t="shared" si="15"/>
      </c>
      <c r="J18" s="73">
        <f t="shared" si="16"/>
      </c>
      <c r="K18" s="69">
        <f t="shared" si="2"/>
      </c>
      <c r="L18" s="48">
        <f t="shared" si="3"/>
      </c>
      <c r="M18" s="48">
        <f t="shared" si="4"/>
      </c>
      <c r="N18" s="48">
        <f t="shared" si="5"/>
      </c>
      <c r="O18" s="53">
        <f t="shared" si="6"/>
      </c>
      <c r="P18" s="56">
        <f t="shared" si="7"/>
      </c>
      <c r="Q18" s="59">
        <f t="shared" si="8"/>
        <v>323.0719316505867</v>
      </c>
      <c r="R18" s="62">
        <f t="shared" si="9"/>
        <v>323.0719316505867</v>
      </c>
      <c r="S18" s="63">
        <f t="shared" si="10"/>
        <v>249.74511110634407</v>
      </c>
      <c r="U18">
        <f t="shared" si="11"/>
        <v>1</v>
      </c>
      <c r="V18">
        <f t="shared" si="12"/>
        <v>12</v>
      </c>
      <c r="W18" s="2">
        <f t="shared" si="13"/>
        <v>1566</v>
      </c>
    </row>
    <row r="19" spans="2:23" ht="12.75">
      <c r="B19" s="5" t="s">
        <v>39</v>
      </c>
      <c r="C19" s="6"/>
      <c r="D19" s="7"/>
      <c r="F19" s="32">
        <f t="shared" si="0"/>
        <v>2028</v>
      </c>
      <c r="G19" s="33">
        <f t="shared" si="14"/>
        <v>14</v>
      </c>
      <c r="H19" s="42">
        <f t="shared" si="1"/>
      </c>
      <c r="I19" s="43">
        <f t="shared" si="15"/>
      </c>
      <c r="J19" s="73">
        <f t="shared" si="16"/>
      </c>
      <c r="K19" s="69">
        <f t="shared" si="2"/>
      </c>
      <c r="L19" s="48">
        <f t="shared" si="3"/>
      </c>
      <c r="M19" s="48">
        <f t="shared" si="4"/>
      </c>
      <c r="N19" s="48">
        <f t="shared" si="5"/>
      </c>
      <c r="O19" s="53">
        <f t="shared" si="6"/>
      </c>
      <c r="P19" s="56">
        <f t="shared" si="7"/>
      </c>
      <c r="Q19" s="59">
        <f t="shared" si="8"/>
        <v>327.9180106253454</v>
      </c>
      <c r="R19" s="62">
        <f t="shared" si="9"/>
        <v>327.9180106253454</v>
      </c>
      <c r="S19" s="63">
        <f t="shared" si="10"/>
        <v>248.52087036562662</v>
      </c>
      <c r="U19">
        <f t="shared" si="11"/>
        <v>1</v>
      </c>
      <c r="V19">
        <f t="shared" si="12"/>
        <v>12</v>
      </c>
      <c r="W19" s="2">
        <f t="shared" si="13"/>
        <v>1566</v>
      </c>
    </row>
    <row r="20" spans="2:23" ht="12.75">
      <c r="B20" s="8"/>
      <c r="C20" s="9"/>
      <c r="D20" s="10"/>
      <c r="F20" s="32">
        <f t="shared" si="0"/>
        <v>2029</v>
      </c>
      <c r="G20" s="33">
        <f t="shared" si="14"/>
        <v>15</v>
      </c>
      <c r="H20" s="42">
        <f t="shared" si="1"/>
      </c>
      <c r="I20" s="43">
        <f t="shared" si="15"/>
      </c>
      <c r="J20" s="73">
        <f t="shared" si="16"/>
      </c>
      <c r="K20" s="69">
        <f t="shared" si="2"/>
      </c>
      <c r="L20" s="48">
        <f t="shared" si="3"/>
      </c>
      <c r="M20" s="48">
        <f t="shared" si="4"/>
      </c>
      <c r="N20" s="48">
        <f t="shared" si="5"/>
      </c>
      <c r="O20" s="53">
        <f t="shared" si="6"/>
      </c>
      <c r="P20" s="56">
        <f t="shared" si="7"/>
      </c>
      <c r="Q20" s="59">
        <f t="shared" si="8"/>
        <v>332.83678078472553</v>
      </c>
      <c r="R20" s="62">
        <f t="shared" si="9"/>
        <v>332.83678078472553</v>
      </c>
      <c r="S20" s="63">
        <f t="shared" si="10"/>
        <v>247.30263080501084</v>
      </c>
      <c r="U20">
        <f t="shared" si="11"/>
        <v>1</v>
      </c>
      <c r="V20">
        <f t="shared" si="12"/>
        <v>12</v>
      </c>
      <c r="W20" s="2">
        <f t="shared" si="13"/>
        <v>1566</v>
      </c>
    </row>
    <row r="21" spans="2:23" ht="12.75">
      <c r="B21" s="8" t="s">
        <v>4</v>
      </c>
      <c r="C21" s="9"/>
      <c r="D21" s="10">
        <v>58</v>
      </c>
      <c r="F21" s="32">
        <f t="shared" si="0"/>
        <v>2030</v>
      </c>
      <c r="G21" s="33">
        <f t="shared" si="14"/>
        <v>16</v>
      </c>
      <c r="H21" s="42">
        <f t="shared" si="1"/>
      </c>
      <c r="I21" s="43">
        <f t="shared" si="15"/>
      </c>
      <c r="J21" s="73">
        <f t="shared" si="16"/>
      </c>
      <c r="K21" s="69">
        <f t="shared" si="2"/>
      </c>
      <c r="L21" s="48">
        <f t="shared" si="3"/>
      </c>
      <c r="M21" s="48">
        <f t="shared" si="4"/>
      </c>
      <c r="N21" s="48">
        <f t="shared" si="5"/>
        <v>137.2785705090612</v>
      </c>
      <c r="O21" s="53">
        <f t="shared" si="6"/>
        <v>82.36714230543672</v>
      </c>
      <c r="P21" s="56">
        <f t="shared" si="7"/>
        <v>247.45218179256554</v>
      </c>
      <c r="Q21" s="59">
        <f t="shared" si="8"/>
        <v>337.8293324964964</v>
      </c>
      <c r="R21" s="62">
        <f t="shared" si="9"/>
        <v>804.92722710356</v>
      </c>
      <c r="S21" s="63">
        <f t="shared" si="10"/>
        <v>586.3458689281952</v>
      </c>
      <c r="U21">
        <f t="shared" si="11"/>
        <v>1</v>
      </c>
      <c r="V21">
        <f t="shared" si="12"/>
        <v>12</v>
      </c>
      <c r="W21" s="2">
        <f t="shared" si="13"/>
        <v>1566</v>
      </c>
    </row>
    <row r="22" spans="2:23" ht="12.75">
      <c r="B22" s="8" t="s">
        <v>40</v>
      </c>
      <c r="C22" s="11">
        <v>1</v>
      </c>
      <c r="D22" s="10">
        <v>1400</v>
      </c>
      <c r="F22" s="32">
        <f t="shared" si="0"/>
        <v>2031</v>
      </c>
      <c r="G22" s="33">
        <f t="shared" si="14"/>
        <v>17</v>
      </c>
      <c r="H22" s="42">
        <f t="shared" si="1"/>
      </c>
      <c r="I22" s="43">
        <f t="shared" si="15"/>
      </c>
      <c r="J22" s="73">
        <f t="shared" si="16"/>
      </c>
      <c r="K22" s="69">
        <f t="shared" si="2"/>
      </c>
      <c r="L22" s="48">
        <f t="shared" si="3"/>
      </c>
      <c r="M22" s="48">
        <f t="shared" si="4"/>
      </c>
      <c r="N22" s="48">
        <f t="shared" si="5"/>
      </c>
      <c r="O22" s="53">
        <f t="shared" si="6"/>
      </c>
      <c r="P22" s="56">
        <f t="shared" si="7"/>
      </c>
      <c r="Q22" s="59">
        <f t="shared" si="8"/>
        <v>342.8967724839438</v>
      </c>
      <c r="R22" s="62">
        <f t="shared" si="9"/>
        <v>342.8967724839438</v>
      </c>
      <c r="S22" s="63">
        <f t="shared" si="10"/>
        <v>244.88403769808934</v>
      </c>
      <c r="U22">
        <f t="shared" si="11"/>
        <v>1</v>
      </c>
      <c r="V22">
        <f t="shared" si="12"/>
        <v>12</v>
      </c>
      <c r="W22" s="2">
        <f t="shared" si="13"/>
        <v>1566</v>
      </c>
    </row>
    <row r="23" spans="2:23" ht="12.75">
      <c r="B23" s="8" t="s">
        <v>41</v>
      </c>
      <c r="C23" s="11">
        <v>0.75</v>
      </c>
      <c r="D23" s="10"/>
      <c r="F23" s="32">
        <f t="shared" si="0"/>
        <v>2032</v>
      </c>
      <c r="G23" s="33">
        <f t="shared" si="14"/>
        <v>18</v>
      </c>
      <c r="H23" s="42">
        <f t="shared" si="1"/>
      </c>
      <c r="I23" s="43">
        <f t="shared" si="15"/>
      </c>
      <c r="J23" s="73">
        <f t="shared" si="16"/>
      </c>
      <c r="K23" s="69">
        <f t="shared" si="2"/>
      </c>
      <c r="L23" s="48">
        <f t="shared" si="3"/>
      </c>
      <c r="M23" s="48">
        <f t="shared" si="4"/>
      </c>
      <c r="N23" s="48">
        <f t="shared" si="5"/>
      </c>
      <c r="O23" s="53">
        <f t="shared" si="6"/>
      </c>
      <c r="P23" s="56">
        <f t="shared" si="7"/>
      </c>
      <c r="Q23" s="59">
        <f t="shared" si="8"/>
        <v>348.040224071203</v>
      </c>
      <c r="R23" s="62">
        <f t="shared" si="9"/>
        <v>348.040224071203</v>
      </c>
      <c r="S23" s="63">
        <f t="shared" si="10"/>
        <v>243.68362574858898</v>
      </c>
      <c r="U23">
        <f t="shared" si="11"/>
        <v>1</v>
      </c>
      <c r="V23">
        <f t="shared" si="12"/>
        <v>12</v>
      </c>
      <c r="W23" s="2">
        <f t="shared" si="13"/>
        <v>1566</v>
      </c>
    </row>
    <row r="24" spans="2:23" ht="12.75">
      <c r="B24" s="8" t="s">
        <v>42</v>
      </c>
      <c r="C24" s="11">
        <v>0.5</v>
      </c>
      <c r="D24" s="10">
        <v>2600</v>
      </c>
      <c r="F24" s="32">
        <f t="shared" si="0"/>
        <v>2033</v>
      </c>
      <c r="G24" s="33">
        <f t="shared" si="14"/>
        <v>19</v>
      </c>
      <c r="H24" s="42">
        <f t="shared" si="1"/>
      </c>
      <c r="I24" s="43">
        <f t="shared" si="15"/>
      </c>
      <c r="J24" s="73">
        <f t="shared" si="16"/>
      </c>
      <c r="K24" s="69">
        <f t="shared" si="2"/>
      </c>
      <c r="L24" s="48">
        <f t="shared" si="3"/>
      </c>
      <c r="M24" s="48">
        <f t="shared" si="4"/>
      </c>
      <c r="N24" s="48">
        <f t="shared" si="5"/>
      </c>
      <c r="O24" s="53">
        <f t="shared" si="6"/>
      </c>
      <c r="P24" s="56">
        <f t="shared" si="7"/>
      </c>
      <c r="Q24" s="59">
        <f t="shared" si="8"/>
        <v>353.2608274322709</v>
      </c>
      <c r="R24" s="62">
        <f t="shared" si="9"/>
        <v>353.2608274322709</v>
      </c>
      <c r="S24" s="63">
        <f t="shared" si="10"/>
        <v>242.4890981713899</v>
      </c>
      <c r="U24">
        <f t="shared" si="11"/>
        <v>1</v>
      </c>
      <c r="V24">
        <f t="shared" si="12"/>
        <v>12</v>
      </c>
      <c r="W24" s="2">
        <f t="shared" si="13"/>
        <v>1566</v>
      </c>
    </row>
    <row r="25" spans="2:23" ht="12.75">
      <c r="B25" s="8" t="s">
        <v>43</v>
      </c>
      <c r="C25" s="11">
        <v>0.25</v>
      </c>
      <c r="D25" s="10"/>
      <c r="F25" s="32">
        <f t="shared" si="0"/>
        <v>2034</v>
      </c>
      <c r="G25" s="33">
        <f t="shared" si="14"/>
        <v>20</v>
      </c>
      <c r="H25" s="42">
        <f t="shared" si="1"/>
      </c>
      <c r="I25" s="43">
        <f t="shared" si="15"/>
      </c>
      <c r="J25" s="73">
        <f t="shared" si="16"/>
      </c>
      <c r="K25" s="69">
        <f t="shared" si="2"/>
      </c>
      <c r="L25" s="48">
        <f t="shared" si="3"/>
      </c>
      <c r="M25" s="48">
        <f t="shared" si="4"/>
      </c>
      <c r="N25" s="48">
        <f t="shared" si="5"/>
        <v>148.59473959783543</v>
      </c>
      <c r="O25" s="53">
        <f t="shared" si="6"/>
        <v>89.15684375870126</v>
      </c>
      <c r="P25" s="56">
        <f t="shared" si="7"/>
        <v>262.63672627726015</v>
      </c>
      <c r="Q25" s="59">
        <f t="shared" si="8"/>
        <v>358.5597398437549</v>
      </c>
      <c r="R25" s="62">
        <f t="shared" si="9"/>
        <v>858.9480494775518</v>
      </c>
      <c r="S25" s="63">
        <f t="shared" si="10"/>
        <v>578.0474139274739</v>
      </c>
      <c r="U25">
        <f t="shared" si="11"/>
        <v>1</v>
      </c>
      <c r="V25">
        <f t="shared" si="12"/>
        <v>12</v>
      </c>
      <c r="W25" s="2">
        <f t="shared" si="13"/>
        <v>1566</v>
      </c>
    </row>
    <row r="26" spans="2:23" ht="12.75">
      <c r="B26" s="8"/>
      <c r="C26" s="9"/>
      <c r="D26" s="10"/>
      <c r="F26" s="32">
        <f t="shared" si="0"/>
        <v>2035</v>
      </c>
      <c r="G26" s="33">
        <f t="shared" si="14"/>
        <v>21</v>
      </c>
      <c r="H26" s="42">
        <f t="shared" si="1"/>
      </c>
      <c r="I26" s="43">
        <f t="shared" si="15"/>
      </c>
      <c r="J26" s="73">
        <f t="shared" si="16"/>
      </c>
      <c r="K26" s="69">
        <f t="shared" si="2"/>
      </c>
      <c r="L26" s="48">
        <f t="shared" si="3"/>
      </c>
      <c r="M26" s="48">
        <f t="shared" si="4"/>
      </c>
      <c r="N26" s="48">
        <f t="shared" si="5"/>
      </c>
      <c r="O26" s="53">
        <f t="shared" si="6"/>
      </c>
      <c r="P26" s="56">
        <f t="shared" si="7"/>
      </c>
      <c r="Q26" s="59">
        <f t="shared" si="8"/>
        <v>363.9381359414112</v>
      </c>
      <c r="R26" s="62">
        <f t="shared" si="9"/>
        <v>363.9381359414112</v>
      </c>
      <c r="S26" s="63">
        <f t="shared" si="10"/>
        <v>240.11758089544418</v>
      </c>
      <c r="U26">
        <f t="shared" si="11"/>
        <v>1</v>
      </c>
      <c r="V26">
        <f t="shared" si="12"/>
        <v>12</v>
      </c>
      <c r="W26" s="2">
        <f t="shared" si="13"/>
        <v>1566</v>
      </c>
    </row>
    <row r="27" spans="2:23" ht="12.75">
      <c r="B27" s="12" t="s">
        <v>5</v>
      </c>
      <c r="C27" s="13"/>
      <c r="D27" s="14">
        <v>0.17</v>
      </c>
      <c r="F27" s="32">
        <f t="shared" si="0"/>
        <v>2036</v>
      </c>
      <c r="G27" s="33">
        <f t="shared" si="14"/>
        <v>22</v>
      </c>
      <c r="H27" s="42">
        <f t="shared" si="1"/>
      </c>
      <c r="I27" s="43">
        <f t="shared" si="15"/>
      </c>
      <c r="J27" s="73">
        <f t="shared" si="16"/>
      </c>
      <c r="K27" s="69">
        <f t="shared" si="2"/>
      </c>
      <c r="L27" s="48">
        <f t="shared" si="3"/>
      </c>
      <c r="M27" s="48">
        <f t="shared" si="4"/>
      </c>
      <c r="N27" s="48">
        <f t="shared" si="5"/>
      </c>
      <c r="O27" s="53">
        <f t="shared" si="6"/>
      </c>
      <c r="P27" s="56">
        <f t="shared" si="7"/>
      </c>
      <c r="Q27" s="59">
        <f t="shared" si="8"/>
        <v>369.3972079805323</v>
      </c>
      <c r="R27" s="62">
        <f t="shared" si="9"/>
        <v>369.3972079805323</v>
      </c>
      <c r="S27" s="63">
        <f t="shared" si="10"/>
        <v>238.94053393027036</v>
      </c>
      <c r="U27">
        <f t="shared" si="11"/>
        <v>1</v>
      </c>
      <c r="V27">
        <f t="shared" si="12"/>
        <v>12</v>
      </c>
      <c r="W27" s="2">
        <f t="shared" si="13"/>
        <v>1566</v>
      </c>
    </row>
    <row r="28" spans="6:23" ht="12.75">
      <c r="F28" s="32">
        <f t="shared" si="0"/>
        <v>2037</v>
      </c>
      <c r="G28" s="33">
        <f t="shared" si="14"/>
        <v>23</v>
      </c>
      <c r="H28" s="42">
        <f t="shared" si="1"/>
      </c>
      <c r="I28" s="43">
        <f t="shared" si="15"/>
      </c>
      <c r="J28" s="73">
        <f t="shared" si="16"/>
      </c>
      <c r="K28" s="69">
        <f t="shared" si="2"/>
      </c>
      <c r="L28" s="48">
        <f t="shared" si="3"/>
      </c>
      <c r="M28" s="48">
        <f t="shared" si="4"/>
      </c>
      <c r="N28" s="48">
        <f t="shared" si="5"/>
      </c>
      <c r="O28" s="53">
        <f t="shared" si="6"/>
      </c>
      <c r="P28" s="56">
        <f t="shared" si="7"/>
      </c>
      <c r="Q28" s="59">
        <f t="shared" si="8"/>
        <v>374.93816610024027</v>
      </c>
      <c r="R28" s="62">
        <f t="shared" si="9"/>
        <v>374.93816610024027</v>
      </c>
      <c r="S28" s="63">
        <f t="shared" si="10"/>
        <v>237.76925680316123</v>
      </c>
      <c r="U28">
        <f t="shared" si="11"/>
        <v>1</v>
      </c>
      <c r="V28">
        <f t="shared" si="12"/>
        <v>12</v>
      </c>
      <c r="W28" s="2">
        <f t="shared" si="13"/>
        <v>1566</v>
      </c>
    </row>
    <row r="29" spans="6:23" ht="13.5" thickBot="1">
      <c r="F29" s="34">
        <f t="shared" si="0"/>
        <v>2038</v>
      </c>
      <c r="G29" s="35">
        <f t="shared" si="14"/>
        <v>24</v>
      </c>
      <c r="H29" s="44">
        <f t="shared" si="1"/>
      </c>
      <c r="I29" s="45">
        <f t="shared" si="15"/>
      </c>
      <c r="J29" s="74">
        <f t="shared" si="16"/>
      </c>
      <c r="K29" s="70">
        <f t="shared" si="2"/>
      </c>
      <c r="L29" s="49">
        <f t="shared" si="3"/>
      </c>
      <c r="M29" s="49">
        <f t="shared" si="4"/>
      </c>
      <c r="N29" s="49">
        <f t="shared" si="5"/>
      </c>
      <c r="O29" s="54">
        <f t="shared" si="6"/>
      </c>
      <c r="P29" s="57">
        <f t="shared" si="7"/>
      </c>
      <c r="Q29" s="60">
        <f t="shared" si="8"/>
        <v>380.5622385917437</v>
      </c>
      <c r="R29" s="64">
        <f t="shared" si="9"/>
        <v>380.5622385917437</v>
      </c>
      <c r="S29" s="65">
        <f t="shared" si="10"/>
        <v>236.60372123059662</v>
      </c>
      <c r="U29">
        <f t="shared" si="11"/>
        <v>1</v>
      </c>
      <c r="V29">
        <f t="shared" si="12"/>
        <v>12</v>
      </c>
      <c r="W29" s="2">
        <f t="shared" si="13"/>
        <v>1566</v>
      </c>
    </row>
    <row r="30" spans="2:19" ht="12.75">
      <c r="B30" s="15" t="s">
        <v>6</v>
      </c>
      <c r="C30" s="16"/>
      <c r="D30" s="17"/>
      <c r="F30" s="36">
        <f t="shared" si="0"/>
        <v>2039</v>
      </c>
      <c r="G30" s="36">
        <f t="shared" si="14"/>
        <v>25</v>
      </c>
      <c r="H30" s="36">
        <f>IF(MOD(($D$10-G30),$D$10)=0,$D$7*$D$9*(1+$D$56)^G30,"")</f>
        <v>3337.174314448298</v>
      </c>
      <c r="I30" s="36">
        <f>IF(H31="",IF(H30="",IF(MOD(($D$13-G30),$D$13)=0,$D$7*$D$12*(1+$D$56)^G30,""),""),"")</f>
      </c>
      <c r="J30" s="36">
        <f>IF(H31="",IF(H30="",IF(MOD(($D$16-G30),$D$16)=0,$D$7*$D$15*(1+$D$56)^G30,""),""),"")</f>
      </c>
      <c r="K30" s="36">
        <f t="shared" si="2"/>
        <v>492.1817983394189</v>
      </c>
      <c r="L30" s="36">
        <f t="shared" si="3"/>
      </c>
      <c r="M30" s="36">
        <f t="shared" si="4"/>
      </c>
      <c r="N30" s="36">
        <f t="shared" si="5"/>
      </c>
      <c r="O30" s="36">
        <f t="shared" si="6"/>
      </c>
      <c r="P30" s="36">
        <f t="shared" si="7"/>
        <v>282.9343440510513</v>
      </c>
      <c r="Q30" s="36">
        <f>$D$7*($C$22*$D$22+$C$23*$D$23+$C$24*$D$24+$C$25*$D$25)*$D$27*(1+$D$57)^G30*$D$21/1000</f>
        <v>386.27067217061995</v>
      </c>
      <c r="R30" s="36">
        <f t="shared" si="9"/>
        <v>4498.561129009388</v>
      </c>
      <c r="S30" s="36">
        <f t="shared" si="10"/>
        <v>2742.0118810897716</v>
      </c>
    </row>
    <row r="31" spans="2:19" ht="12.75">
      <c r="B31" s="18"/>
      <c r="C31" s="4"/>
      <c r="D31" s="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23" ht="12.75">
      <c r="B32" s="18" t="s">
        <v>7</v>
      </c>
      <c r="C32" s="4"/>
      <c r="D32" s="20">
        <v>30</v>
      </c>
      <c r="H32" s="2"/>
      <c r="I32" s="2"/>
      <c r="J32" s="2"/>
      <c r="K32" s="2"/>
      <c r="L32" s="2"/>
      <c r="M32" s="2"/>
      <c r="N32" s="2"/>
      <c r="O32" s="2"/>
      <c r="P32" s="100" t="s">
        <v>52</v>
      </c>
      <c r="Q32" s="100"/>
      <c r="R32" s="2">
        <f>SUM(R4:R16)</f>
        <v>7054.1179004176465</v>
      </c>
      <c r="S32" s="66">
        <f>SUM(S4:S16)</f>
        <v>6603.589307023193</v>
      </c>
      <c r="W32" s="2">
        <f>SUM(W4:W16)</f>
        <v>18792</v>
      </c>
    </row>
    <row r="33" spans="2:23" ht="12.75">
      <c r="B33" s="18" t="s">
        <v>11</v>
      </c>
      <c r="C33" s="4"/>
      <c r="D33" s="20">
        <v>10</v>
      </c>
      <c r="H33" s="2"/>
      <c r="I33" s="2"/>
      <c r="J33" s="2"/>
      <c r="K33" s="2"/>
      <c r="L33" s="2"/>
      <c r="M33" s="2"/>
      <c r="N33" s="2"/>
      <c r="O33" s="2"/>
      <c r="P33" s="100" t="s">
        <v>47</v>
      </c>
      <c r="Q33" s="100"/>
      <c r="R33" s="2">
        <f>SUM(R5:R29)</f>
        <v>13280.520951369088</v>
      </c>
      <c r="S33" s="66">
        <f>SUM(S5:S29)</f>
        <v>11022.540727522577</v>
      </c>
      <c r="W33" s="2">
        <f>SUM(W5:W29)</f>
        <v>39150</v>
      </c>
    </row>
    <row r="34" spans="2:17" ht="12.75">
      <c r="B34" s="18" t="s">
        <v>62</v>
      </c>
      <c r="C34" s="4"/>
      <c r="D34" s="20">
        <v>15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9" ht="12.75">
      <c r="B35" s="18" t="s">
        <v>12</v>
      </c>
      <c r="C35" s="4"/>
      <c r="D35" s="20">
        <v>3</v>
      </c>
      <c r="H35" s="2"/>
      <c r="I35" s="2"/>
      <c r="J35" s="2"/>
      <c r="K35" s="2"/>
      <c r="L35" s="2"/>
      <c r="M35" s="2"/>
      <c r="N35" s="2"/>
      <c r="O35" s="2"/>
      <c r="P35" s="2"/>
      <c r="Q35" s="3"/>
      <c r="S35" s="2"/>
    </row>
    <row r="36" spans="2:17" ht="12.75">
      <c r="B36" s="18" t="s">
        <v>13</v>
      </c>
      <c r="C36" s="4"/>
      <c r="D36" s="20">
        <v>7</v>
      </c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2.75">
      <c r="B37" s="18" t="s">
        <v>14</v>
      </c>
      <c r="C37" s="4"/>
      <c r="D37" s="20">
        <v>5</v>
      </c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4" ht="12.75">
      <c r="B38" s="21" t="s">
        <v>15</v>
      </c>
      <c r="C38" s="22"/>
      <c r="D38" s="23">
        <v>3</v>
      </c>
    </row>
    <row r="41" spans="2:4" ht="12.75">
      <c r="B41" s="15" t="s">
        <v>8</v>
      </c>
      <c r="C41" s="16"/>
      <c r="D41" s="17"/>
    </row>
    <row r="42" spans="2:4" ht="12.75">
      <c r="B42" s="18"/>
      <c r="C42" s="4"/>
      <c r="D42" s="19"/>
    </row>
    <row r="43" spans="2:4" ht="12.75">
      <c r="B43" s="18" t="s">
        <v>9</v>
      </c>
      <c r="C43" s="4"/>
      <c r="D43" s="20">
        <v>4</v>
      </c>
    </row>
    <row r="44" spans="2:4" ht="12.75">
      <c r="B44" s="21" t="s">
        <v>10</v>
      </c>
      <c r="C44" s="22"/>
      <c r="D44" s="23">
        <v>4</v>
      </c>
    </row>
    <row r="45" ht="12.75">
      <c r="D45" s="1"/>
    </row>
    <row r="46" ht="12.75">
      <c r="D46" s="1"/>
    </row>
    <row r="47" spans="2:4" ht="12.75">
      <c r="B47" s="15" t="s">
        <v>44</v>
      </c>
      <c r="C47" s="16"/>
      <c r="D47" s="24"/>
    </row>
    <row r="48" spans="2:4" ht="12.75">
      <c r="B48" s="18"/>
      <c r="C48" s="4"/>
      <c r="D48" s="20"/>
    </row>
    <row r="49" spans="2:4" ht="12.75">
      <c r="B49" s="18" t="s">
        <v>19</v>
      </c>
      <c r="C49" s="4"/>
      <c r="D49" s="20">
        <v>90</v>
      </c>
    </row>
    <row r="50" spans="2:4" ht="12.75">
      <c r="B50" s="21" t="s">
        <v>20</v>
      </c>
      <c r="C50" s="22"/>
      <c r="D50" s="23">
        <v>120</v>
      </c>
    </row>
    <row r="53" spans="2:4" ht="12.75">
      <c r="B53" s="15" t="s">
        <v>21</v>
      </c>
      <c r="C53" s="16"/>
      <c r="D53" s="17"/>
    </row>
    <row r="54" spans="2:4" ht="12.75">
      <c r="B54" s="18"/>
      <c r="C54" s="4"/>
      <c r="D54" s="19"/>
    </row>
    <row r="55" spans="2:4" ht="12.75">
      <c r="B55" s="18" t="s">
        <v>22</v>
      </c>
      <c r="C55" s="4"/>
      <c r="D55" s="25">
        <v>0.02</v>
      </c>
    </row>
    <row r="56" spans="2:4" ht="12.75">
      <c r="B56" s="18" t="s">
        <v>34</v>
      </c>
      <c r="C56" s="4"/>
      <c r="D56" s="25">
        <v>0.015</v>
      </c>
    </row>
    <row r="57" spans="2:4" ht="12.75">
      <c r="B57" s="18" t="s">
        <v>35</v>
      </c>
      <c r="C57" s="4"/>
      <c r="D57" s="25">
        <v>0.015</v>
      </c>
    </row>
    <row r="58" spans="2:4" ht="12.75">
      <c r="B58" s="18" t="s">
        <v>38</v>
      </c>
      <c r="C58" s="4"/>
      <c r="D58" s="25">
        <v>0.015</v>
      </c>
    </row>
    <row r="59" spans="2:4" ht="12.75">
      <c r="B59" s="18"/>
      <c r="C59" s="4"/>
      <c r="D59" s="19"/>
    </row>
    <row r="60" spans="2:4" ht="12.75">
      <c r="B60" s="21" t="s">
        <v>50</v>
      </c>
      <c r="C60" s="22"/>
      <c r="D60" s="26">
        <v>0.02</v>
      </c>
    </row>
    <row r="62" ht="13.5" thickBot="1"/>
    <row r="63" spans="2:4" ht="13.5" thickBot="1">
      <c r="B63" s="75" t="s">
        <v>48</v>
      </c>
      <c r="C63" s="76"/>
      <c r="D63" s="77">
        <v>0</v>
      </c>
    </row>
  </sheetData>
  <sheetProtection/>
  <mergeCells count="4">
    <mergeCell ref="K2:O2"/>
    <mergeCell ref="H2:J2"/>
    <mergeCell ref="P33:Q33"/>
    <mergeCell ref="P32:Q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W63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2.140625" style="0" customWidth="1"/>
    <col min="2" max="2" width="37.57421875" style="0" customWidth="1"/>
    <col min="3" max="3" width="6.421875" style="0" customWidth="1"/>
    <col min="4" max="4" width="9.00390625" style="0" customWidth="1"/>
    <col min="5" max="5" width="6.8515625" style="0" customWidth="1"/>
    <col min="6" max="6" width="6.421875" style="0" customWidth="1"/>
    <col min="7" max="7" width="6.57421875" style="0" customWidth="1"/>
    <col min="8" max="8" width="9.421875" style="0" customWidth="1"/>
    <col min="9" max="9" width="11.7109375" style="0" customWidth="1"/>
    <col min="10" max="10" width="10.57421875" style="0" customWidth="1"/>
    <col min="13" max="13" width="11.00390625" style="0" customWidth="1"/>
    <col min="14" max="14" width="10.421875" style="0" customWidth="1"/>
    <col min="16" max="16" width="14.28125" style="0" customWidth="1"/>
    <col min="17" max="17" width="17.28125" style="0" customWidth="1"/>
    <col min="19" max="19" width="12.7109375" style="0" customWidth="1"/>
    <col min="21" max="22" width="0" style="0" hidden="1" customWidth="1"/>
  </cols>
  <sheetData>
    <row r="1" ht="13.5" thickBot="1"/>
    <row r="2" spans="6:19" ht="12.75">
      <c r="F2" s="30"/>
      <c r="G2" s="31" t="s">
        <v>24</v>
      </c>
      <c r="H2" s="97" t="s">
        <v>31</v>
      </c>
      <c r="I2" s="98"/>
      <c r="J2" s="99"/>
      <c r="K2" s="94" t="s">
        <v>37</v>
      </c>
      <c r="L2" s="95"/>
      <c r="M2" s="95"/>
      <c r="N2" s="95"/>
      <c r="O2" s="96"/>
      <c r="P2" s="55" t="s">
        <v>32</v>
      </c>
      <c r="Q2" s="58" t="s">
        <v>33</v>
      </c>
      <c r="R2" s="61" t="s">
        <v>45</v>
      </c>
      <c r="S2" s="31" t="s">
        <v>46</v>
      </c>
    </row>
    <row r="3" spans="2:23" ht="39" thickBot="1">
      <c r="B3" s="78" t="s">
        <v>61</v>
      </c>
      <c r="F3" s="34"/>
      <c r="G3" s="35"/>
      <c r="H3" s="50" t="s">
        <v>0</v>
      </c>
      <c r="I3" s="39" t="s">
        <v>25</v>
      </c>
      <c r="J3" s="71" t="s">
        <v>27</v>
      </c>
      <c r="K3" s="67" t="s">
        <v>36</v>
      </c>
      <c r="L3" s="46" t="s">
        <v>28</v>
      </c>
      <c r="M3" s="46" t="s">
        <v>29</v>
      </c>
      <c r="N3" s="46" t="s">
        <v>30</v>
      </c>
      <c r="O3" s="51" t="s">
        <v>26</v>
      </c>
      <c r="P3" s="82"/>
      <c r="Q3" s="83"/>
      <c r="R3" s="34"/>
      <c r="S3" s="35"/>
      <c r="W3" s="79" t="s">
        <v>49</v>
      </c>
    </row>
    <row r="4" spans="6:19" ht="12.75">
      <c r="F4" s="37"/>
      <c r="G4" s="38"/>
      <c r="H4" s="40"/>
      <c r="I4" s="41"/>
      <c r="J4" s="72"/>
      <c r="K4" s="68"/>
      <c r="L4" s="47"/>
      <c r="M4" s="47"/>
      <c r="N4" s="47"/>
      <c r="O4" s="52"/>
      <c r="P4" s="80"/>
      <c r="Q4" s="81"/>
      <c r="R4" s="37"/>
      <c r="S4" s="38"/>
    </row>
    <row r="5" spans="2:23" ht="12.75">
      <c r="B5" s="15" t="s">
        <v>3</v>
      </c>
      <c r="C5" s="16"/>
      <c r="D5" s="17"/>
      <c r="F5" s="32">
        <f aca="true" t="shared" si="0" ref="F5:F30">2014+G5</f>
        <v>2014</v>
      </c>
      <c r="G5" s="33">
        <v>0</v>
      </c>
      <c r="H5" s="42">
        <f aca="true" t="shared" si="1" ref="H5:H29">IF($D$9=0,"",IF(MOD(($D$10-G5),$D$10)=0,$D$7*$D$9*(1+$D$56)^G5,""))</f>
        <v>4500</v>
      </c>
      <c r="I5" s="43">
        <f>IF(H5&lt;&gt;0,IF(H6="",IF(H5="",IF(MOD(($D$13-G5),$D$13)=0,$D$7*$D$12*(1+$D$56)^G5,""),""),""),"")</f>
      </c>
      <c r="J5" s="73">
        <f>IF($D$15&lt;&gt;0,IF(G5&lt;&gt;0,IF(H6="",IF(H5="",IF(MOD(($D$16-G5),$D$16)=0,$D$7*$D$15*(1+$D$56)^G5,""),""),""),""),"")</f>
      </c>
      <c r="K5" s="69">
        <f aca="true" t="shared" si="2" ref="K5:K30">IF(H5&lt;&gt;"",$D$7*$D$50*$D$34/60*(1+$D$55)^G5,"")</f>
        <v>300</v>
      </c>
      <c r="L5" s="48">
        <f aca="true" t="shared" si="3" ref="L5:L30">IF(I5&lt;&gt;"",$D$7*$D$50*$D$35/60*(1+$D$55)^G5,"")</f>
      </c>
      <c r="M5" s="48">
        <f aca="true" t="shared" si="4" ref="M5:M30">IF(J5&lt;&gt;"",$D$7*$D$50*$D$36/60*(1+$D$55)^G5,"")</f>
      </c>
      <c r="N5" s="48">
        <f aca="true" t="shared" si="5" ref="N5:N30">IF(H6="",IF(H5="",IF(MOD(($D$43-G5),$D$43)=0,$D$7*$D$37/60*$D$50*(1+$D$55)^G5,""),""),"")</f>
      </c>
      <c r="O5" s="53">
        <f aca="true" t="shared" si="6" ref="O5:O30">IF(H6="",IF(H5="",IF(MOD(($D$44-G5),$D$44)=0,$D$7*$D$38/60*$D$50*(1+$D$55)^G5,""),""),"")</f>
      </c>
      <c r="P5" s="56">
        <f aca="true" t="shared" si="7" ref="P5:P30">IF(K5&lt;&gt;"",($D$7*$D$49*$D$33/60+$D$49*$D$32/60)*(1+$D$58)^G5,IF(L5&lt;&gt;"",($D$7*$D$49*$D$33/60+$D$49*$D$32/60)*(1+$D$58)^G5,IF(M5&lt;&gt;"",($D$7*$D$49*$D$33/60+$D$49*$D$32/60)*(1+$D$58)^G5,IF(N5&lt;&gt;"",($D$7*$D$49*$D$33/60+$D$49*$D$32/60)*(1+$D$58)^G5,IF(O5&lt;&gt;"",($D$7*$D$49*$D$33/60+$D$49*$D$32/60)*(1+$D$58)^G5,"")))))</f>
        <v>195</v>
      </c>
      <c r="Q5" s="59">
        <f aca="true" t="shared" si="8" ref="Q5:Q29">IF(U5&gt;0,$D$7*($C$22*$D$22+$C$23*$D$23+$C$24*$D$24+$C$25*$D$25)*$D$27*(1+$D$57)^G5*$D$21/1000/((1+$D$63)^V5),$D$7*($C$22*$D$22+$C$23*$D$23+$C$24*$D$24+$C$25*$D$25)*$D$27*(1+$D$57)^G5*$D$21/1000)</f>
        <v>156.06</v>
      </c>
      <c r="R5" s="62">
        <f aca="true" t="shared" si="9" ref="R5:R30">SUM(H5:Q5)</f>
        <v>5151.06</v>
      </c>
      <c r="S5" s="63">
        <f aca="true" t="shared" si="10" ref="S5:S30">R5/(1+$D$60)^G5</f>
        <v>5151.06</v>
      </c>
      <c r="U5">
        <f aca="true" t="shared" si="11" ref="U5:U29">IF(L5="",U4,U4+1)</f>
        <v>0</v>
      </c>
      <c r="V5">
        <f aca="true" t="shared" si="12" ref="V5:V29">IF(L5="",V4,G4+1)</f>
        <v>0</v>
      </c>
      <c r="W5" s="2">
        <f aca="true" t="shared" si="13" ref="W5:W29">IF(U5&gt;0,$D$7*($C$22*$D$22+$C$23*$D$23+$C$24*$D$24+$C$25*$D$25)*$D$21/1000/((1+$D$63)^V5),$D$7*($C$22*$D$22+$C$23*$D$23+$C$24*$D$24+$C$25*$D$25)*$D$21/1000)</f>
        <v>918</v>
      </c>
    </row>
    <row r="6" spans="2:23" ht="12.75">
      <c r="B6" s="27"/>
      <c r="C6" s="4"/>
      <c r="D6" s="19"/>
      <c r="F6" s="32">
        <f t="shared" si="0"/>
        <v>2015</v>
      </c>
      <c r="G6" s="33">
        <f aca="true" t="shared" si="14" ref="G6:G30">G5+1</f>
        <v>1</v>
      </c>
      <c r="H6" s="42">
        <f t="shared" si="1"/>
      </c>
      <c r="I6" s="43">
        <f aca="true" t="shared" si="15" ref="I6:I29">IF(H6&lt;&gt;0,IF(H7="",IF(H6="",IF(MOD(($D$13-G6),$D$13)=0,$D$7*$D$12*(1+$D$56)^G6,""),""),""),"")</f>
      </c>
      <c r="J6" s="73">
        <f aca="true" t="shared" si="16" ref="J6:J29">IF($D$15&lt;&gt;0,IF(G6&lt;&gt;0,IF(H7="",IF(H6="",IF(MOD(($D$16-G6),$D$16)=0,$D$7*$D$15*(1+$D$56)^G6,""),""),""),""),"")</f>
      </c>
      <c r="K6" s="69">
        <f t="shared" si="2"/>
      </c>
      <c r="L6" s="48">
        <f t="shared" si="3"/>
      </c>
      <c r="M6" s="48">
        <f t="shared" si="4"/>
      </c>
      <c r="N6" s="48">
        <f t="shared" si="5"/>
      </c>
      <c r="O6" s="53">
        <f t="shared" si="6"/>
      </c>
      <c r="P6" s="56">
        <f t="shared" si="7"/>
      </c>
      <c r="Q6" s="59">
        <f t="shared" si="8"/>
        <v>158.4009</v>
      </c>
      <c r="R6" s="62">
        <f t="shared" si="9"/>
        <v>158.4009</v>
      </c>
      <c r="S6" s="63">
        <f t="shared" si="10"/>
        <v>155.29500000000002</v>
      </c>
      <c r="U6">
        <f t="shared" si="11"/>
        <v>0</v>
      </c>
      <c r="V6">
        <f t="shared" si="12"/>
        <v>0</v>
      </c>
      <c r="W6" s="2">
        <f t="shared" si="13"/>
        <v>918</v>
      </c>
    </row>
    <row r="7" spans="2:23" ht="12.75">
      <c r="B7" s="28" t="s">
        <v>23</v>
      </c>
      <c r="C7" s="4"/>
      <c r="D7" s="19">
        <v>10</v>
      </c>
      <c r="F7" s="32">
        <f t="shared" si="0"/>
        <v>2016</v>
      </c>
      <c r="G7" s="33">
        <f t="shared" si="14"/>
        <v>2</v>
      </c>
      <c r="H7" s="42">
        <f t="shared" si="1"/>
      </c>
      <c r="I7" s="43">
        <f t="shared" si="15"/>
      </c>
      <c r="J7" s="73">
        <f t="shared" si="16"/>
      </c>
      <c r="K7" s="69">
        <f t="shared" si="2"/>
      </c>
      <c r="L7" s="48">
        <f t="shared" si="3"/>
      </c>
      <c r="M7" s="48">
        <f t="shared" si="4"/>
      </c>
      <c r="N7" s="48">
        <f t="shared" si="5"/>
      </c>
      <c r="O7" s="53">
        <f t="shared" si="6"/>
      </c>
      <c r="P7" s="56">
        <f t="shared" si="7"/>
      </c>
      <c r="Q7" s="59">
        <f t="shared" si="8"/>
        <v>160.77691349999995</v>
      </c>
      <c r="R7" s="62">
        <f t="shared" si="9"/>
        <v>160.77691349999995</v>
      </c>
      <c r="S7" s="63">
        <f t="shared" si="10"/>
        <v>154.53374999999994</v>
      </c>
      <c r="U7">
        <f t="shared" si="11"/>
        <v>0</v>
      </c>
      <c r="V7">
        <f t="shared" si="12"/>
        <v>0</v>
      </c>
      <c r="W7" s="2">
        <f t="shared" si="13"/>
        <v>918</v>
      </c>
    </row>
    <row r="8" spans="2:23" ht="12.75">
      <c r="B8" s="18"/>
      <c r="C8" s="4"/>
      <c r="D8" s="19"/>
      <c r="F8" s="32">
        <f t="shared" si="0"/>
        <v>2017</v>
      </c>
      <c r="G8" s="33">
        <f t="shared" si="14"/>
        <v>3</v>
      </c>
      <c r="H8" s="42">
        <f t="shared" si="1"/>
      </c>
      <c r="I8" s="43">
        <f t="shared" si="15"/>
      </c>
      <c r="J8" s="73">
        <f t="shared" si="16"/>
      </c>
      <c r="K8" s="69">
        <f t="shared" si="2"/>
      </c>
      <c r="L8" s="48">
        <f t="shared" si="3"/>
      </c>
      <c r="M8" s="48">
        <f t="shared" si="4"/>
      </c>
      <c r="N8" s="48">
        <f t="shared" si="5"/>
      </c>
      <c r="O8" s="53">
        <f t="shared" si="6"/>
      </c>
      <c r="P8" s="56">
        <f t="shared" si="7"/>
      </c>
      <c r="Q8" s="59">
        <f t="shared" si="8"/>
        <v>163.18856720249994</v>
      </c>
      <c r="R8" s="62">
        <f t="shared" si="9"/>
        <v>163.18856720249994</v>
      </c>
      <c r="S8" s="63">
        <f t="shared" si="10"/>
        <v>153.776231617647</v>
      </c>
      <c r="U8">
        <f t="shared" si="11"/>
        <v>0</v>
      </c>
      <c r="V8">
        <f t="shared" si="12"/>
        <v>0</v>
      </c>
      <c r="W8" s="2">
        <f t="shared" si="13"/>
        <v>918</v>
      </c>
    </row>
    <row r="9" spans="2:23" ht="12.75">
      <c r="B9" s="18" t="s">
        <v>55</v>
      </c>
      <c r="C9" s="4"/>
      <c r="D9" s="19">
        <v>450</v>
      </c>
      <c r="F9" s="32">
        <f t="shared" si="0"/>
        <v>2018</v>
      </c>
      <c r="G9" s="33">
        <f t="shared" si="14"/>
        <v>4</v>
      </c>
      <c r="H9" s="42">
        <f t="shared" si="1"/>
      </c>
      <c r="I9" s="43">
        <f t="shared" si="15"/>
      </c>
      <c r="J9" s="73">
        <f t="shared" si="16"/>
      </c>
      <c r="K9" s="69">
        <f t="shared" si="2"/>
      </c>
      <c r="L9" s="48">
        <f t="shared" si="3"/>
      </c>
      <c r="M9" s="48">
        <f t="shared" si="4"/>
      </c>
      <c r="N9" s="48">
        <f t="shared" si="5"/>
        <v>108.243216</v>
      </c>
      <c r="O9" s="53">
        <f t="shared" si="6"/>
        <v>64.9459296</v>
      </c>
      <c r="P9" s="56">
        <f t="shared" si="7"/>
        <v>206.9658923718749</v>
      </c>
      <c r="Q9" s="59">
        <f t="shared" si="8"/>
        <v>165.6363957105374</v>
      </c>
      <c r="R9" s="62">
        <f t="shared" si="9"/>
        <v>545.7914336824123</v>
      </c>
      <c r="S9" s="63">
        <f t="shared" si="10"/>
        <v>504.22691957195013</v>
      </c>
      <c r="U9">
        <f t="shared" si="11"/>
        <v>0</v>
      </c>
      <c r="V9">
        <f t="shared" si="12"/>
        <v>0</v>
      </c>
      <c r="W9" s="2">
        <f t="shared" si="13"/>
        <v>918</v>
      </c>
    </row>
    <row r="10" spans="2:23" ht="12.75">
      <c r="B10" s="18" t="s">
        <v>16</v>
      </c>
      <c r="C10" s="4"/>
      <c r="D10" s="19">
        <v>25</v>
      </c>
      <c r="F10" s="32">
        <f t="shared" si="0"/>
        <v>2019</v>
      </c>
      <c r="G10" s="33">
        <f t="shared" si="14"/>
        <v>5</v>
      </c>
      <c r="H10" s="42">
        <f t="shared" si="1"/>
      </c>
      <c r="I10" s="43">
        <f t="shared" si="15"/>
      </c>
      <c r="J10" s="73">
        <f t="shared" si="16"/>
      </c>
      <c r="K10" s="69">
        <f t="shared" si="2"/>
      </c>
      <c r="L10" s="48">
        <f t="shared" si="3"/>
      </c>
      <c r="M10" s="48">
        <f t="shared" si="4"/>
      </c>
      <c r="N10" s="48">
        <f t="shared" si="5"/>
      </c>
      <c r="O10" s="53">
        <f t="shared" si="6"/>
      </c>
      <c r="P10" s="56">
        <f t="shared" si="7"/>
      </c>
      <c r="Q10" s="59">
        <f t="shared" si="8"/>
        <v>168.12094164619546</v>
      </c>
      <c r="R10" s="62">
        <f t="shared" si="9"/>
        <v>168.12094164619546</v>
      </c>
      <c r="S10" s="63">
        <f t="shared" si="10"/>
        <v>152.27231662657664</v>
      </c>
      <c r="U10">
        <f t="shared" si="11"/>
        <v>0</v>
      </c>
      <c r="V10">
        <f t="shared" si="12"/>
        <v>0</v>
      </c>
      <c r="W10" s="2">
        <f t="shared" si="13"/>
        <v>918</v>
      </c>
    </row>
    <row r="11" spans="2:23" ht="12.75">
      <c r="B11" s="18"/>
      <c r="C11" s="4"/>
      <c r="D11" s="19"/>
      <c r="F11" s="32">
        <f t="shared" si="0"/>
        <v>2020</v>
      </c>
      <c r="G11" s="33">
        <f t="shared" si="14"/>
        <v>6</v>
      </c>
      <c r="H11" s="42">
        <f t="shared" si="1"/>
      </c>
      <c r="I11" s="43">
        <f t="shared" si="15"/>
      </c>
      <c r="J11" s="73">
        <f t="shared" si="16"/>
      </c>
      <c r="K11" s="69">
        <f t="shared" si="2"/>
      </c>
      <c r="L11" s="48">
        <f t="shared" si="3"/>
      </c>
      <c r="M11" s="48">
        <f t="shared" si="4"/>
      </c>
      <c r="N11" s="48">
        <f t="shared" si="5"/>
      </c>
      <c r="O11" s="53">
        <f t="shared" si="6"/>
      </c>
      <c r="P11" s="56">
        <f t="shared" si="7"/>
      </c>
      <c r="Q11" s="59">
        <f t="shared" si="8"/>
        <v>170.64275577088833</v>
      </c>
      <c r="R11" s="62">
        <f t="shared" si="9"/>
        <v>170.64275577088833</v>
      </c>
      <c r="S11" s="63">
        <f t="shared" si="10"/>
        <v>151.5258837019365</v>
      </c>
      <c r="U11">
        <f t="shared" si="11"/>
        <v>0</v>
      </c>
      <c r="V11">
        <f t="shared" si="12"/>
        <v>0</v>
      </c>
      <c r="W11" s="2">
        <f t="shared" si="13"/>
        <v>918</v>
      </c>
    </row>
    <row r="12" spans="2:23" ht="12.75">
      <c r="B12" s="18" t="s">
        <v>1</v>
      </c>
      <c r="C12" s="4"/>
      <c r="D12" s="19">
        <v>80</v>
      </c>
      <c r="F12" s="32">
        <f t="shared" si="0"/>
        <v>2021</v>
      </c>
      <c r="G12" s="33">
        <f t="shared" si="14"/>
        <v>7</v>
      </c>
      <c r="H12" s="42">
        <f t="shared" si="1"/>
      </c>
      <c r="I12" s="43">
        <f t="shared" si="15"/>
      </c>
      <c r="J12" s="73">
        <f t="shared" si="16"/>
      </c>
      <c r="K12" s="69">
        <f t="shared" si="2"/>
      </c>
      <c r="L12" s="48">
        <f t="shared" si="3"/>
      </c>
      <c r="M12" s="48">
        <f t="shared" si="4"/>
      </c>
      <c r="N12" s="48">
        <f t="shared" si="5"/>
      </c>
      <c r="O12" s="53">
        <f t="shared" si="6"/>
      </c>
      <c r="P12" s="56">
        <f t="shared" si="7"/>
      </c>
      <c r="Q12" s="59">
        <f t="shared" si="8"/>
        <v>173.20239710745165</v>
      </c>
      <c r="R12" s="62">
        <f t="shared" si="9"/>
        <v>173.20239710745165</v>
      </c>
      <c r="S12" s="63">
        <f t="shared" si="10"/>
        <v>150.78310976222116</v>
      </c>
      <c r="U12">
        <f t="shared" si="11"/>
        <v>0</v>
      </c>
      <c r="V12">
        <f t="shared" si="12"/>
        <v>0</v>
      </c>
      <c r="W12" s="2">
        <f t="shared" si="13"/>
        <v>918</v>
      </c>
    </row>
    <row r="13" spans="2:23" ht="12.75">
      <c r="B13" s="18" t="s">
        <v>17</v>
      </c>
      <c r="C13" s="4"/>
      <c r="D13" s="19">
        <v>12</v>
      </c>
      <c r="F13" s="32">
        <f t="shared" si="0"/>
        <v>2022</v>
      </c>
      <c r="G13" s="33">
        <f t="shared" si="14"/>
        <v>8</v>
      </c>
      <c r="H13" s="42">
        <f t="shared" si="1"/>
      </c>
      <c r="I13" s="43">
        <f t="shared" si="15"/>
      </c>
      <c r="J13" s="73">
        <f t="shared" si="16"/>
      </c>
      <c r="K13" s="69">
        <f t="shared" si="2"/>
      </c>
      <c r="L13" s="48">
        <f t="shared" si="3"/>
      </c>
      <c r="M13" s="48">
        <f t="shared" si="4"/>
      </c>
      <c r="N13" s="48">
        <f t="shared" si="5"/>
        <v>117.16593810022655</v>
      </c>
      <c r="O13" s="53">
        <f t="shared" si="6"/>
        <v>70.29956286013594</v>
      </c>
      <c r="P13" s="56">
        <f t="shared" si="7"/>
        <v>219.66605438608462</v>
      </c>
      <c r="Q13" s="59">
        <f t="shared" si="8"/>
        <v>175.80043306406344</v>
      </c>
      <c r="R13" s="62">
        <f t="shared" si="9"/>
        <v>582.9319884105105</v>
      </c>
      <c r="S13" s="63">
        <f t="shared" si="10"/>
        <v>497.52683916707645</v>
      </c>
      <c r="U13">
        <f t="shared" si="11"/>
        <v>0</v>
      </c>
      <c r="V13">
        <f t="shared" si="12"/>
        <v>0</v>
      </c>
      <c r="W13" s="2">
        <f t="shared" si="13"/>
        <v>918</v>
      </c>
    </row>
    <row r="14" spans="2:23" ht="12.75">
      <c r="B14" s="18"/>
      <c r="C14" s="4"/>
      <c r="D14" s="19"/>
      <c r="F14" s="32">
        <f t="shared" si="0"/>
        <v>2023</v>
      </c>
      <c r="G14" s="33">
        <f t="shared" si="14"/>
        <v>9</v>
      </c>
      <c r="H14" s="42">
        <f t="shared" si="1"/>
      </c>
      <c r="I14" s="43">
        <f t="shared" si="15"/>
      </c>
      <c r="J14" s="73">
        <f t="shared" si="16"/>
      </c>
      <c r="K14" s="69">
        <f t="shared" si="2"/>
      </c>
      <c r="L14" s="48">
        <f t="shared" si="3"/>
      </c>
      <c r="M14" s="48">
        <f t="shared" si="4"/>
      </c>
      <c r="N14" s="48">
        <f t="shared" si="5"/>
      </c>
      <c r="O14" s="53">
        <f t="shared" si="6"/>
      </c>
      <c r="P14" s="56">
        <f t="shared" si="7"/>
      </c>
      <c r="Q14" s="59">
        <f t="shared" si="8"/>
        <v>178.43743956002433</v>
      </c>
      <c r="R14" s="62">
        <f t="shared" si="9"/>
        <v>178.43743956002433</v>
      </c>
      <c r="S14" s="63">
        <f t="shared" si="10"/>
        <v>149.30846718068457</v>
      </c>
      <c r="U14">
        <f t="shared" si="11"/>
        <v>0</v>
      </c>
      <c r="V14">
        <f t="shared" si="12"/>
        <v>0</v>
      </c>
      <c r="W14" s="2">
        <f t="shared" si="13"/>
        <v>918</v>
      </c>
    </row>
    <row r="15" spans="2:23" ht="12.75">
      <c r="B15" s="18" t="s">
        <v>2</v>
      </c>
      <c r="C15" s="4"/>
      <c r="D15" s="19">
        <v>70</v>
      </c>
      <c r="F15" s="32">
        <f t="shared" si="0"/>
        <v>2024</v>
      </c>
      <c r="G15" s="33">
        <f t="shared" si="14"/>
        <v>10</v>
      </c>
      <c r="H15" s="42">
        <f t="shared" si="1"/>
      </c>
      <c r="I15" s="43">
        <f t="shared" si="15"/>
      </c>
      <c r="J15" s="73">
        <f t="shared" si="16"/>
      </c>
      <c r="K15" s="69">
        <f t="shared" si="2"/>
      </c>
      <c r="L15" s="48">
        <f t="shared" si="3"/>
      </c>
      <c r="M15" s="48">
        <f t="shared" si="4"/>
      </c>
      <c r="N15" s="48">
        <f t="shared" si="5"/>
      </c>
      <c r="O15" s="53">
        <f t="shared" si="6"/>
      </c>
      <c r="P15" s="56">
        <f t="shared" si="7"/>
      </c>
      <c r="Q15" s="59">
        <f t="shared" si="8"/>
        <v>181.11400115342468</v>
      </c>
      <c r="R15" s="62">
        <f t="shared" si="9"/>
        <v>181.11400115342468</v>
      </c>
      <c r="S15" s="63">
        <f t="shared" si="10"/>
        <v>148.57656292979885</v>
      </c>
      <c r="U15">
        <f t="shared" si="11"/>
        <v>0</v>
      </c>
      <c r="V15">
        <f t="shared" si="12"/>
        <v>0</v>
      </c>
      <c r="W15" s="2">
        <f t="shared" si="13"/>
        <v>918</v>
      </c>
    </row>
    <row r="16" spans="2:23" ht="12.75">
      <c r="B16" s="21" t="s">
        <v>18</v>
      </c>
      <c r="C16" s="22"/>
      <c r="D16" s="29">
        <v>12</v>
      </c>
      <c r="F16" s="32">
        <f t="shared" si="0"/>
        <v>2025</v>
      </c>
      <c r="G16" s="33">
        <f t="shared" si="14"/>
        <v>11</v>
      </c>
      <c r="H16" s="42">
        <f t="shared" si="1"/>
      </c>
      <c r="I16" s="43">
        <f t="shared" si="15"/>
      </c>
      <c r="J16" s="73">
        <f t="shared" si="16"/>
      </c>
      <c r="K16" s="69">
        <f t="shared" si="2"/>
      </c>
      <c r="L16" s="48">
        <f t="shared" si="3"/>
      </c>
      <c r="M16" s="48">
        <f t="shared" si="4"/>
      </c>
      <c r="N16" s="48">
        <f t="shared" si="5"/>
      </c>
      <c r="O16" s="53">
        <f t="shared" si="6"/>
      </c>
      <c r="P16" s="56">
        <f t="shared" si="7"/>
      </c>
      <c r="Q16" s="59">
        <f t="shared" si="8"/>
        <v>183.83071117072603</v>
      </c>
      <c r="R16" s="62">
        <f t="shared" si="9"/>
        <v>183.83071117072603</v>
      </c>
      <c r="S16" s="63">
        <f t="shared" si="10"/>
        <v>147.84824644484888</v>
      </c>
      <c r="U16">
        <f t="shared" si="11"/>
        <v>0</v>
      </c>
      <c r="V16">
        <f t="shared" si="12"/>
        <v>0</v>
      </c>
      <c r="W16" s="2">
        <f t="shared" si="13"/>
        <v>918</v>
      </c>
    </row>
    <row r="17" spans="6:23" ht="12.75">
      <c r="F17" s="32">
        <f t="shared" si="0"/>
        <v>2026</v>
      </c>
      <c r="G17" s="33">
        <f t="shared" si="14"/>
        <v>12</v>
      </c>
      <c r="H17" s="42">
        <f t="shared" si="1"/>
      </c>
      <c r="I17" s="43">
        <f t="shared" si="15"/>
        <v>956.4945371692266</v>
      </c>
      <c r="J17" s="73">
        <f t="shared" si="16"/>
        <v>836.9327200230733</v>
      </c>
      <c r="K17" s="69">
        <f t="shared" si="2"/>
      </c>
      <c r="L17" s="48">
        <f t="shared" si="3"/>
        <v>253.64835891250905</v>
      </c>
      <c r="M17" s="48">
        <f t="shared" si="4"/>
        <v>177.55385123875635</v>
      </c>
      <c r="N17" s="48">
        <f t="shared" si="5"/>
        <v>126.82417945625453</v>
      </c>
      <c r="O17" s="53">
        <f t="shared" si="6"/>
        <v>76.09450767375272</v>
      </c>
      <c r="P17" s="56">
        <f t="shared" si="7"/>
        <v>233.14554343499898</v>
      </c>
      <c r="Q17" s="59">
        <f t="shared" si="8"/>
        <v>186.58817183828688</v>
      </c>
      <c r="R17" s="62">
        <f t="shared" si="9"/>
        <v>2847.281869746859</v>
      </c>
      <c r="S17" s="63">
        <f t="shared" si="10"/>
        <v>2245.062323252777</v>
      </c>
      <c r="U17">
        <f t="shared" si="11"/>
        <v>1</v>
      </c>
      <c r="V17">
        <f t="shared" si="12"/>
        <v>12</v>
      </c>
      <c r="W17" s="2">
        <f t="shared" si="13"/>
        <v>918</v>
      </c>
    </row>
    <row r="18" spans="6:23" ht="12.75">
      <c r="F18" s="32">
        <f t="shared" si="0"/>
        <v>2027</v>
      </c>
      <c r="G18" s="33">
        <f t="shared" si="14"/>
        <v>13</v>
      </c>
      <c r="H18" s="42">
        <f t="shared" si="1"/>
      </c>
      <c r="I18" s="43">
        <f t="shared" si="15"/>
      </c>
      <c r="J18" s="73">
        <f t="shared" si="16"/>
      </c>
      <c r="K18" s="69">
        <f t="shared" si="2"/>
      </c>
      <c r="L18" s="48">
        <f t="shared" si="3"/>
      </c>
      <c r="M18" s="48">
        <f t="shared" si="4"/>
      </c>
      <c r="N18" s="48">
        <f t="shared" si="5"/>
      </c>
      <c r="O18" s="53">
        <f t="shared" si="6"/>
      </c>
      <c r="P18" s="56">
        <f t="shared" si="7"/>
      </c>
      <c r="Q18" s="59">
        <f t="shared" si="8"/>
        <v>189.38699441586118</v>
      </c>
      <c r="R18" s="62">
        <f t="shared" si="9"/>
        <v>189.38699441586118</v>
      </c>
      <c r="S18" s="63">
        <f t="shared" si="10"/>
        <v>146.40230651061552</v>
      </c>
      <c r="U18">
        <f t="shared" si="11"/>
        <v>1</v>
      </c>
      <c r="V18">
        <f t="shared" si="12"/>
        <v>12</v>
      </c>
      <c r="W18" s="2">
        <f t="shared" si="13"/>
        <v>918</v>
      </c>
    </row>
    <row r="19" spans="2:23" ht="12.75">
      <c r="B19" s="5" t="s">
        <v>39</v>
      </c>
      <c r="C19" s="6"/>
      <c r="D19" s="7"/>
      <c r="F19" s="32">
        <f t="shared" si="0"/>
        <v>2028</v>
      </c>
      <c r="G19" s="33">
        <f t="shared" si="14"/>
        <v>14</v>
      </c>
      <c r="H19" s="42">
        <f t="shared" si="1"/>
      </c>
      <c r="I19" s="43">
        <f t="shared" si="15"/>
      </c>
      <c r="J19" s="73">
        <f t="shared" si="16"/>
      </c>
      <c r="K19" s="69">
        <f t="shared" si="2"/>
      </c>
      <c r="L19" s="48">
        <f t="shared" si="3"/>
      </c>
      <c r="M19" s="48">
        <f t="shared" si="4"/>
      </c>
      <c r="N19" s="48">
        <f t="shared" si="5"/>
      </c>
      <c r="O19" s="53">
        <f t="shared" si="6"/>
      </c>
      <c r="P19" s="56">
        <f t="shared" si="7"/>
      </c>
      <c r="Q19" s="59">
        <f t="shared" si="8"/>
        <v>192.22779933209904</v>
      </c>
      <c r="R19" s="62">
        <f t="shared" si="9"/>
        <v>192.22779933209904</v>
      </c>
      <c r="S19" s="63">
        <f t="shared" si="10"/>
        <v>145.68464814536733</v>
      </c>
      <c r="U19">
        <f t="shared" si="11"/>
        <v>1</v>
      </c>
      <c r="V19">
        <f t="shared" si="12"/>
        <v>12</v>
      </c>
      <c r="W19" s="2">
        <f t="shared" si="13"/>
        <v>918</v>
      </c>
    </row>
    <row r="20" spans="2:23" ht="12.75">
      <c r="B20" s="8"/>
      <c r="C20" s="9"/>
      <c r="D20" s="10"/>
      <c r="F20" s="32">
        <f t="shared" si="0"/>
        <v>2029</v>
      </c>
      <c r="G20" s="33">
        <f t="shared" si="14"/>
        <v>15</v>
      </c>
      <c r="H20" s="42">
        <f t="shared" si="1"/>
      </c>
      <c r="I20" s="43">
        <f t="shared" si="15"/>
      </c>
      <c r="J20" s="73">
        <f t="shared" si="16"/>
      </c>
      <c r="K20" s="69">
        <f t="shared" si="2"/>
      </c>
      <c r="L20" s="48">
        <f t="shared" si="3"/>
      </c>
      <c r="M20" s="48">
        <f t="shared" si="4"/>
      </c>
      <c r="N20" s="48">
        <f t="shared" si="5"/>
      </c>
      <c r="O20" s="53">
        <f t="shared" si="6"/>
      </c>
      <c r="P20" s="56">
        <f t="shared" si="7"/>
      </c>
      <c r="Q20" s="59">
        <f t="shared" si="8"/>
        <v>195.11121632208048</v>
      </c>
      <c r="R20" s="62">
        <f t="shared" si="9"/>
        <v>195.11121632208048</v>
      </c>
      <c r="S20" s="63">
        <f t="shared" si="10"/>
        <v>144.97050771328222</v>
      </c>
      <c r="U20">
        <f t="shared" si="11"/>
        <v>1</v>
      </c>
      <c r="V20">
        <f t="shared" si="12"/>
        <v>12</v>
      </c>
      <c r="W20" s="2">
        <f t="shared" si="13"/>
        <v>918</v>
      </c>
    </row>
    <row r="21" spans="2:23" ht="12.75">
      <c r="B21" s="8" t="s">
        <v>4</v>
      </c>
      <c r="C21" s="9"/>
      <c r="D21" s="10">
        <v>34</v>
      </c>
      <c r="F21" s="32">
        <f t="shared" si="0"/>
        <v>2030</v>
      </c>
      <c r="G21" s="33">
        <f t="shared" si="14"/>
        <v>16</v>
      </c>
      <c r="H21" s="42">
        <f t="shared" si="1"/>
      </c>
      <c r="I21" s="43">
        <f t="shared" si="15"/>
      </c>
      <c r="J21" s="73">
        <f t="shared" si="16"/>
      </c>
      <c r="K21" s="69">
        <f t="shared" si="2"/>
      </c>
      <c r="L21" s="48">
        <f t="shared" si="3"/>
      </c>
      <c r="M21" s="48">
        <f t="shared" si="4"/>
      </c>
      <c r="N21" s="48">
        <f t="shared" si="5"/>
        <v>137.2785705090612</v>
      </c>
      <c r="O21" s="53">
        <f t="shared" si="6"/>
        <v>82.36714230543672</v>
      </c>
      <c r="P21" s="56">
        <f t="shared" si="7"/>
        <v>247.45218179256554</v>
      </c>
      <c r="Q21" s="59">
        <f t="shared" si="8"/>
        <v>198.0378845669117</v>
      </c>
      <c r="R21" s="62">
        <f t="shared" si="9"/>
        <v>665.1357791739752</v>
      </c>
      <c r="S21" s="63">
        <f t="shared" si="10"/>
        <v>484.5153738908377</v>
      </c>
      <c r="U21">
        <f t="shared" si="11"/>
        <v>1</v>
      </c>
      <c r="V21">
        <f t="shared" si="12"/>
        <v>12</v>
      </c>
      <c r="W21" s="2">
        <f t="shared" si="13"/>
        <v>918</v>
      </c>
    </row>
    <row r="22" spans="2:23" ht="12.75">
      <c r="B22" s="8" t="s">
        <v>40</v>
      </c>
      <c r="C22" s="11">
        <v>1</v>
      </c>
      <c r="D22" s="10">
        <v>1400</v>
      </c>
      <c r="F22" s="32">
        <f t="shared" si="0"/>
        <v>2031</v>
      </c>
      <c r="G22" s="33">
        <f t="shared" si="14"/>
        <v>17</v>
      </c>
      <c r="H22" s="42">
        <f t="shared" si="1"/>
      </c>
      <c r="I22" s="43">
        <f t="shared" si="15"/>
      </c>
      <c r="J22" s="73">
        <f t="shared" si="16"/>
      </c>
      <c r="K22" s="69">
        <f t="shared" si="2"/>
      </c>
      <c r="L22" s="48">
        <f t="shared" si="3"/>
      </c>
      <c r="M22" s="48">
        <f t="shared" si="4"/>
      </c>
      <c r="N22" s="48">
        <f t="shared" si="5"/>
      </c>
      <c r="O22" s="53">
        <f t="shared" si="6"/>
      </c>
      <c r="P22" s="56">
        <f t="shared" si="7"/>
      </c>
      <c r="Q22" s="59">
        <f t="shared" si="8"/>
        <v>201.0084528354153</v>
      </c>
      <c r="R22" s="62">
        <f t="shared" si="9"/>
        <v>201.0084528354153</v>
      </c>
      <c r="S22" s="63">
        <f t="shared" si="10"/>
        <v>143.55271175405238</v>
      </c>
      <c r="U22">
        <f t="shared" si="11"/>
        <v>1</v>
      </c>
      <c r="V22">
        <f t="shared" si="12"/>
        <v>12</v>
      </c>
      <c r="W22" s="2">
        <f t="shared" si="13"/>
        <v>918</v>
      </c>
    </row>
    <row r="23" spans="2:23" ht="12.75">
      <c r="B23" s="8" t="s">
        <v>41</v>
      </c>
      <c r="C23" s="11">
        <v>0.75</v>
      </c>
      <c r="D23" s="10"/>
      <c r="F23" s="32">
        <f t="shared" si="0"/>
        <v>2032</v>
      </c>
      <c r="G23" s="33">
        <f t="shared" si="14"/>
        <v>18</v>
      </c>
      <c r="H23" s="42">
        <f t="shared" si="1"/>
      </c>
      <c r="I23" s="43">
        <f t="shared" si="15"/>
      </c>
      <c r="J23" s="73">
        <f t="shared" si="16"/>
      </c>
      <c r="K23" s="69">
        <f t="shared" si="2"/>
      </c>
      <c r="L23" s="48">
        <f t="shared" si="3"/>
      </c>
      <c r="M23" s="48">
        <f t="shared" si="4"/>
      </c>
      <c r="N23" s="48">
        <f t="shared" si="5"/>
      </c>
      <c r="O23" s="53">
        <f t="shared" si="6"/>
      </c>
      <c r="P23" s="56">
        <f t="shared" si="7"/>
      </c>
      <c r="Q23" s="59">
        <f t="shared" si="8"/>
        <v>204.02357962794656</v>
      </c>
      <c r="R23" s="62">
        <f t="shared" si="9"/>
        <v>204.02357962794656</v>
      </c>
      <c r="S23" s="63">
        <f t="shared" si="10"/>
        <v>142.84902199055213</v>
      </c>
      <c r="U23">
        <f t="shared" si="11"/>
        <v>1</v>
      </c>
      <c r="V23">
        <f t="shared" si="12"/>
        <v>12</v>
      </c>
      <c r="W23" s="2">
        <f t="shared" si="13"/>
        <v>918</v>
      </c>
    </row>
    <row r="24" spans="2:23" ht="12.75">
      <c r="B24" s="8" t="s">
        <v>42</v>
      </c>
      <c r="C24" s="11">
        <v>0.5</v>
      </c>
      <c r="D24" s="10">
        <v>2600</v>
      </c>
      <c r="F24" s="32">
        <f t="shared" si="0"/>
        <v>2033</v>
      </c>
      <c r="G24" s="33">
        <f t="shared" si="14"/>
        <v>19</v>
      </c>
      <c r="H24" s="42">
        <f t="shared" si="1"/>
      </c>
      <c r="I24" s="43">
        <f t="shared" si="15"/>
      </c>
      <c r="J24" s="73">
        <f t="shared" si="16"/>
      </c>
      <c r="K24" s="69">
        <f t="shared" si="2"/>
      </c>
      <c r="L24" s="48">
        <f t="shared" si="3"/>
      </c>
      <c r="M24" s="48">
        <f t="shared" si="4"/>
      </c>
      <c r="N24" s="48">
        <f t="shared" si="5"/>
      </c>
      <c r="O24" s="53">
        <f t="shared" si="6"/>
      </c>
      <c r="P24" s="56">
        <f t="shared" si="7"/>
      </c>
      <c r="Q24" s="59">
        <f t="shared" si="8"/>
        <v>207.0839333223657</v>
      </c>
      <c r="R24" s="62">
        <f t="shared" si="9"/>
        <v>207.0839333223657</v>
      </c>
      <c r="S24" s="63">
        <f t="shared" si="10"/>
        <v>142.14878168667687</v>
      </c>
      <c r="U24">
        <f t="shared" si="11"/>
        <v>1</v>
      </c>
      <c r="V24">
        <f t="shared" si="12"/>
        <v>12</v>
      </c>
      <c r="W24" s="2">
        <f t="shared" si="13"/>
        <v>918</v>
      </c>
    </row>
    <row r="25" spans="2:23" ht="12.75">
      <c r="B25" s="8" t="s">
        <v>43</v>
      </c>
      <c r="C25" s="11">
        <v>0.25</v>
      </c>
      <c r="D25" s="10"/>
      <c r="F25" s="32">
        <f t="shared" si="0"/>
        <v>2034</v>
      </c>
      <c r="G25" s="33">
        <f t="shared" si="14"/>
        <v>20</v>
      </c>
      <c r="H25" s="42">
        <f t="shared" si="1"/>
      </c>
      <c r="I25" s="43">
        <f t="shared" si="15"/>
      </c>
      <c r="J25" s="73">
        <f t="shared" si="16"/>
      </c>
      <c r="K25" s="69">
        <f t="shared" si="2"/>
      </c>
      <c r="L25" s="48">
        <f t="shared" si="3"/>
      </c>
      <c r="M25" s="48">
        <f t="shared" si="4"/>
      </c>
      <c r="N25" s="48">
        <f t="shared" si="5"/>
        <v>148.59473959783543</v>
      </c>
      <c r="O25" s="53">
        <f t="shared" si="6"/>
        <v>89.15684375870126</v>
      </c>
      <c r="P25" s="56">
        <f t="shared" si="7"/>
        <v>262.63672627726015</v>
      </c>
      <c r="Q25" s="59">
        <f t="shared" si="8"/>
        <v>210.19019232220114</v>
      </c>
      <c r="R25" s="62">
        <f t="shared" si="9"/>
        <v>710.578501955998</v>
      </c>
      <c r="S25" s="63">
        <f t="shared" si="10"/>
        <v>478.1989617392546</v>
      </c>
      <c r="U25">
        <f t="shared" si="11"/>
        <v>1</v>
      </c>
      <c r="V25">
        <f t="shared" si="12"/>
        <v>12</v>
      </c>
      <c r="W25" s="2">
        <f t="shared" si="13"/>
        <v>918</v>
      </c>
    </row>
    <row r="26" spans="2:23" ht="12.75">
      <c r="B26" s="8"/>
      <c r="C26" s="9"/>
      <c r="D26" s="10"/>
      <c r="F26" s="32">
        <f t="shared" si="0"/>
        <v>2035</v>
      </c>
      <c r="G26" s="33">
        <f t="shared" si="14"/>
        <v>21</v>
      </c>
      <c r="H26" s="42">
        <f t="shared" si="1"/>
      </c>
      <c r="I26" s="43">
        <f t="shared" si="15"/>
      </c>
      <c r="J26" s="73">
        <f t="shared" si="16"/>
      </c>
      <c r="K26" s="69">
        <f t="shared" si="2"/>
      </c>
      <c r="L26" s="48">
        <f t="shared" si="3"/>
      </c>
      <c r="M26" s="48">
        <f t="shared" si="4"/>
      </c>
      <c r="N26" s="48">
        <f t="shared" si="5"/>
      </c>
      <c r="O26" s="53">
        <f t="shared" si="6"/>
      </c>
      <c r="P26" s="56">
        <f t="shared" si="7"/>
      </c>
      <c r="Q26" s="59">
        <f t="shared" si="8"/>
        <v>213.34304520703415</v>
      </c>
      <c r="R26" s="62">
        <f t="shared" si="9"/>
        <v>213.34304520703415</v>
      </c>
      <c r="S26" s="63">
        <f t="shared" si="10"/>
        <v>140.7585819042259</v>
      </c>
      <c r="U26">
        <f t="shared" si="11"/>
        <v>1</v>
      </c>
      <c r="V26">
        <f t="shared" si="12"/>
        <v>12</v>
      </c>
      <c r="W26" s="2">
        <f t="shared" si="13"/>
        <v>918</v>
      </c>
    </row>
    <row r="27" spans="2:23" ht="12.75">
      <c r="B27" s="12" t="s">
        <v>5</v>
      </c>
      <c r="C27" s="13"/>
      <c r="D27" s="14">
        <v>0.17</v>
      </c>
      <c r="F27" s="32">
        <f t="shared" si="0"/>
        <v>2036</v>
      </c>
      <c r="G27" s="33">
        <f t="shared" si="14"/>
        <v>22</v>
      </c>
      <c r="H27" s="42">
        <f t="shared" si="1"/>
      </c>
      <c r="I27" s="43">
        <f t="shared" si="15"/>
      </c>
      <c r="J27" s="73">
        <f t="shared" si="16"/>
      </c>
      <c r="K27" s="69">
        <f t="shared" si="2"/>
      </c>
      <c r="L27" s="48">
        <f t="shared" si="3"/>
      </c>
      <c r="M27" s="48">
        <f t="shared" si="4"/>
      </c>
      <c r="N27" s="48">
        <f t="shared" si="5"/>
      </c>
      <c r="O27" s="53">
        <f t="shared" si="6"/>
      </c>
      <c r="P27" s="56">
        <f t="shared" si="7"/>
      </c>
      <c r="Q27" s="59">
        <f t="shared" si="8"/>
        <v>216.54319088513964</v>
      </c>
      <c r="R27" s="62">
        <f t="shared" si="9"/>
        <v>216.54319088513964</v>
      </c>
      <c r="S27" s="63">
        <f t="shared" si="10"/>
        <v>140.06858885567573</v>
      </c>
      <c r="U27">
        <f t="shared" si="11"/>
        <v>1</v>
      </c>
      <c r="V27">
        <f t="shared" si="12"/>
        <v>12</v>
      </c>
      <c r="W27" s="2">
        <f t="shared" si="13"/>
        <v>918</v>
      </c>
    </row>
    <row r="28" spans="6:23" ht="12.75">
      <c r="F28" s="32">
        <f t="shared" si="0"/>
        <v>2037</v>
      </c>
      <c r="G28" s="33">
        <f t="shared" si="14"/>
        <v>23</v>
      </c>
      <c r="H28" s="42">
        <f t="shared" si="1"/>
      </c>
      <c r="I28" s="43">
        <f t="shared" si="15"/>
      </c>
      <c r="J28" s="73">
        <f t="shared" si="16"/>
      </c>
      <c r="K28" s="69">
        <f t="shared" si="2"/>
      </c>
      <c r="L28" s="48">
        <f t="shared" si="3"/>
      </c>
      <c r="M28" s="48">
        <f t="shared" si="4"/>
      </c>
      <c r="N28" s="48">
        <f t="shared" si="5"/>
      </c>
      <c r="O28" s="53">
        <f t="shared" si="6"/>
      </c>
      <c r="P28" s="56">
        <f t="shared" si="7"/>
      </c>
      <c r="Q28" s="59">
        <f t="shared" si="8"/>
        <v>219.79133874841668</v>
      </c>
      <c r="R28" s="62">
        <f t="shared" si="9"/>
        <v>219.79133874841668</v>
      </c>
      <c r="S28" s="63">
        <f t="shared" si="10"/>
        <v>139.38197812599105</v>
      </c>
      <c r="U28">
        <f t="shared" si="11"/>
        <v>1</v>
      </c>
      <c r="V28">
        <f t="shared" si="12"/>
        <v>12</v>
      </c>
      <c r="W28" s="2">
        <f t="shared" si="13"/>
        <v>918</v>
      </c>
    </row>
    <row r="29" spans="6:23" ht="13.5" thickBot="1">
      <c r="F29" s="34">
        <f t="shared" si="0"/>
        <v>2038</v>
      </c>
      <c r="G29" s="35">
        <f t="shared" si="14"/>
        <v>24</v>
      </c>
      <c r="H29" s="44">
        <f t="shared" si="1"/>
      </c>
      <c r="I29" s="45">
        <f t="shared" si="15"/>
      </c>
      <c r="J29" s="74">
        <f t="shared" si="16"/>
      </c>
      <c r="K29" s="70">
        <f t="shared" si="2"/>
      </c>
      <c r="L29" s="49">
        <f t="shared" si="3"/>
      </c>
      <c r="M29" s="49">
        <f t="shared" si="4"/>
      </c>
      <c r="N29" s="49">
        <f t="shared" si="5"/>
      </c>
      <c r="O29" s="54">
        <f t="shared" si="6"/>
      </c>
      <c r="P29" s="57">
        <f t="shared" si="7"/>
      </c>
      <c r="Q29" s="60">
        <f t="shared" si="8"/>
        <v>223.0882088296429</v>
      </c>
      <c r="R29" s="64">
        <f t="shared" si="9"/>
        <v>223.0882088296429</v>
      </c>
      <c r="S29" s="65">
        <f t="shared" si="10"/>
        <v>138.69873313517735</v>
      </c>
      <c r="U29">
        <f t="shared" si="11"/>
        <v>1</v>
      </c>
      <c r="V29">
        <f t="shared" si="12"/>
        <v>12</v>
      </c>
      <c r="W29" s="2">
        <f t="shared" si="13"/>
        <v>918</v>
      </c>
    </row>
    <row r="30" spans="2:19" ht="12.75">
      <c r="B30" s="15" t="s">
        <v>6</v>
      </c>
      <c r="C30" s="16"/>
      <c r="D30" s="17"/>
      <c r="F30" s="36">
        <f t="shared" si="0"/>
        <v>2039</v>
      </c>
      <c r="G30" s="36">
        <f t="shared" si="14"/>
        <v>25</v>
      </c>
      <c r="H30" s="36">
        <f>IF(MOD(($D$10-G30),$D$10)=0,$D$7*$D$9*(1+$D$56)^G30,"")</f>
        <v>6529.2540934858</v>
      </c>
      <c r="I30" s="36">
        <f>IF(H31="",IF(H30="",IF(MOD(($D$13-G30),$D$13)=0,$D$7*$D$12*(1+$D$56)^G30,""),""),"")</f>
      </c>
      <c r="J30" s="36">
        <f>IF(H31="",IF(H30="",IF(MOD(($D$16-G30),$D$16)=0,$D$7*$D$15*(1+$D$56)^G30,""),""),"")</f>
      </c>
      <c r="K30" s="36">
        <f t="shared" si="2"/>
        <v>492.1817983394189</v>
      </c>
      <c r="L30" s="36">
        <f t="shared" si="3"/>
      </c>
      <c r="M30" s="36">
        <f t="shared" si="4"/>
      </c>
      <c r="N30" s="36">
        <f t="shared" si="5"/>
      </c>
      <c r="O30" s="36">
        <f t="shared" si="6"/>
      </c>
      <c r="P30" s="36">
        <f t="shared" si="7"/>
        <v>282.9343440510513</v>
      </c>
      <c r="Q30" s="36">
        <f>$D$7*($C$22*$D$22+$C$23*$D$23+$C$24*$D$24+$C$25*$D$25)*$D$27*(1+$D$57)^G30*$D$21/1000</f>
        <v>226.43453196208756</v>
      </c>
      <c r="R30" s="36">
        <f t="shared" si="9"/>
        <v>7530.804767838357</v>
      </c>
      <c r="S30" s="36">
        <f t="shared" si="10"/>
        <v>4590.25798591903</v>
      </c>
    </row>
    <row r="31" spans="2:19" ht="12.75">
      <c r="B31" s="18"/>
      <c r="C31" s="4"/>
      <c r="D31" s="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23" ht="12.75">
      <c r="B32" s="18" t="s">
        <v>7</v>
      </c>
      <c r="C32" s="4"/>
      <c r="D32" s="20">
        <v>30</v>
      </c>
      <c r="H32" s="2"/>
      <c r="I32" s="2"/>
      <c r="J32" s="2"/>
      <c r="K32" s="2"/>
      <c r="L32" s="2"/>
      <c r="M32" s="2"/>
      <c r="N32" s="2"/>
      <c r="O32" s="2"/>
      <c r="P32" s="100" t="s">
        <v>52</v>
      </c>
      <c r="Q32" s="100"/>
      <c r="R32" s="2">
        <f>SUM(R4:R16)</f>
        <v>7817.498049204133</v>
      </c>
      <c r="S32" s="66">
        <f>SUM(S4:S16)</f>
        <v>7516.733327002739</v>
      </c>
      <c r="W32" s="2">
        <f>SUM(W4:W16)</f>
        <v>11016</v>
      </c>
    </row>
    <row r="33" spans="2:23" ht="12.75">
      <c r="B33" s="18" t="s">
        <v>11</v>
      </c>
      <c r="C33" s="4"/>
      <c r="D33" s="20">
        <v>10</v>
      </c>
      <c r="H33" s="2"/>
      <c r="I33" s="2"/>
      <c r="J33" s="2"/>
      <c r="K33" s="2"/>
      <c r="L33" s="2"/>
      <c r="M33" s="2"/>
      <c r="N33" s="2"/>
      <c r="O33" s="2"/>
      <c r="P33" s="100" t="s">
        <v>47</v>
      </c>
      <c r="Q33" s="100"/>
      <c r="R33" s="2">
        <f>SUM(R5:R29)</f>
        <v>14102.101959606964</v>
      </c>
      <c r="S33" s="66">
        <f>SUM(S5:S29)</f>
        <v>12149.025845707227</v>
      </c>
      <c r="W33" s="2">
        <f>SUM(W5:W29)</f>
        <v>22950</v>
      </c>
    </row>
    <row r="34" spans="2:17" ht="12.75">
      <c r="B34" s="18" t="s">
        <v>62</v>
      </c>
      <c r="C34" s="4"/>
      <c r="D34" s="20">
        <v>15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9" ht="12.75">
      <c r="B35" s="18" t="s">
        <v>12</v>
      </c>
      <c r="C35" s="4"/>
      <c r="D35" s="20">
        <v>10</v>
      </c>
      <c r="H35" s="2"/>
      <c r="I35" s="2"/>
      <c r="J35" s="2"/>
      <c r="K35" s="2"/>
      <c r="L35" s="2"/>
      <c r="M35" s="2"/>
      <c r="N35" s="2"/>
      <c r="O35" s="2"/>
      <c r="P35" s="2"/>
      <c r="Q35" s="3"/>
      <c r="S35" s="2"/>
    </row>
    <row r="36" spans="2:17" ht="12.75">
      <c r="B36" s="18" t="s">
        <v>13</v>
      </c>
      <c r="C36" s="4"/>
      <c r="D36" s="20">
        <v>7</v>
      </c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2.75">
      <c r="B37" s="18" t="s">
        <v>14</v>
      </c>
      <c r="C37" s="4"/>
      <c r="D37" s="20">
        <v>5</v>
      </c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4" ht="12.75">
      <c r="B38" s="21" t="s">
        <v>15</v>
      </c>
      <c r="C38" s="22"/>
      <c r="D38" s="23">
        <v>3</v>
      </c>
    </row>
    <row r="41" spans="2:4" ht="12.75">
      <c r="B41" s="15" t="s">
        <v>8</v>
      </c>
      <c r="C41" s="16"/>
      <c r="D41" s="17"/>
    </row>
    <row r="42" spans="2:4" ht="12.75">
      <c r="B42" s="18"/>
      <c r="C42" s="4"/>
      <c r="D42" s="19"/>
    </row>
    <row r="43" spans="2:4" ht="12.75">
      <c r="B43" s="18" t="s">
        <v>9</v>
      </c>
      <c r="C43" s="4"/>
      <c r="D43" s="20">
        <v>4</v>
      </c>
    </row>
    <row r="44" spans="2:4" ht="12.75">
      <c r="B44" s="21" t="s">
        <v>10</v>
      </c>
      <c r="C44" s="22"/>
      <c r="D44" s="23">
        <v>4</v>
      </c>
    </row>
    <row r="45" ht="12.75">
      <c r="D45" s="1"/>
    </row>
    <row r="46" ht="12.75">
      <c r="D46" s="1"/>
    </row>
    <row r="47" spans="2:4" ht="12.75">
      <c r="B47" s="15" t="s">
        <v>44</v>
      </c>
      <c r="C47" s="16"/>
      <c r="D47" s="24"/>
    </row>
    <row r="48" spans="2:4" ht="12.75">
      <c r="B48" s="18"/>
      <c r="C48" s="4"/>
      <c r="D48" s="20"/>
    </row>
    <row r="49" spans="2:4" ht="12.75">
      <c r="B49" s="18" t="s">
        <v>19</v>
      </c>
      <c r="C49" s="4"/>
      <c r="D49" s="20">
        <v>90</v>
      </c>
    </row>
    <row r="50" spans="2:4" ht="12.75">
      <c r="B50" s="21" t="s">
        <v>20</v>
      </c>
      <c r="C50" s="22"/>
      <c r="D50" s="23">
        <v>120</v>
      </c>
    </row>
    <row r="53" spans="2:4" ht="12.75">
      <c r="B53" s="15" t="s">
        <v>21</v>
      </c>
      <c r="C53" s="16"/>
      <c r="D53" s="17"/>
    </row>
    <row r="54" spans="2:4" ht="12.75">
      <c r="B54" s="18"/>
      <c r="C54" s="4"/>
      <c r="D54" s="19"/>
    </row>
    <row r="55" spans="2:4" ht="12.75">
      <c r="B55" s="18" t="s">
        <v>22</v>
      </c>
      <c r="C55" s="4"/>
      <c r="D55" s="25">
        <v>0.02</v>
      </c>
    </row>
    <row r="56" spans="2:4" ht="12.75">
      <c r="B56" s="18" t="s">
        <v>34</v>
      </c>
      <c r="C56" s="4"/>
      <c r="D56" s="25">
        <v>0.015</v>
      </c>
    </row>
    <row r="57" spans="2:4" ht="12.75">
      <c r="B57" s="18" t="s">
        <v>35</v>
      </c>
      <c r="C57" s="4"/>
      <c r="D57" s="25">
        <v>0.015</v>
      </c>
    </row>
    <row r="58" spans="2:4" ht="12.75">
      <c r="B58" s="18" t="s">
        <v>38</v>
      </c>
      <c r="C58" s="4"/>
      <c r="D58" s="25">
        <v>0.015</v>
      </c>
    </row>
    <row r="59" spans="2:4" ht="12.75">
      <c r="B59" s="18"/>
      <c r="C59" s="4"/>
      <c r="D59" s="19"/>
    </row>
    <row r="60" spans="2:4" ht="12.75">
      <c r="B60" s="21" t="s">
        <v>50</v>
      </c>
      <c r="C60" s="22"/>
      <c r="D60" s="26">
        <v>0.02</v>
      </c>
    </row>
    <row r="62" ht="13.5" thickBot="1"/>
    <row r="63" spans="2:4" ht="13.5" thickBot="1">
      <c r="B63" s="75" t="s">
        <v>48</v>
      </c>
      <c r="C63" s="76"/>
      <c r="D63" s="77">
        <v>0</v>
      </c>
    </row>
  </sheetData>
  <sheetProtection/>
  <mergeCells count="4">
    <mergeCell ref="K2:O2"/>
    <mergeCell ref="H2:J2"/>
    <mergeCell ref="P33:Q33"/>
    <mergeCell ref="P32:Q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I40"/>
  <sheetViews>
    <sheetView tabSelected="1" zoomScalePageLayoutView="0" workbookViewId="0" topLeftCell="A4">
      <selection activeCell="K17" sqref="K17"/>
    </sheetView>
  </sheetViews>
  <sheetFormatPr defaultColWidth="11.421875" defaultRowHeight="12.75"/>
  <cols>
    <col min="1" max="1" width="3.8515625" style="0" customWidth="1"/>
    <col min="2" max="2" width="3.57421875" style="0" customWidth="1"/>
    <col min="3" max="3" width="23.8515625" style="0" customWidth="1"/>
    <col min="4" max="4" width="12.00390625" style="0" customWidth="1"/>
    <col min="5" max="5" width="10.8515625" style="0" customWidth="1"/>
    <col min="6" max="6" width="14.28125" style="0" customWidth="1"/>
    <col min="7" max="7" width="14.57421875" style="0" customWidth="1"/>
    <col min="8" max="8" width="2.57421875" style="0" customWidth="1"/>
    <col min="9" max="9" width="12.8515625" style="0" customWidth="1"/>
  </cols>
  <sheetData>
    <row r="1" ht="12.75">
      <c r="D1" s="2"/>
    </row>
    <row r="2" spans="3:9" ht="12.75">
      <c r="C2" s="101" t="s">
        <v>54</v>
      </c>
      <c r="D2" s="101"/>
      <c r="E2" s="101"/>
      <c r="F2" s="101"/>
      <c r="G2" s="101"/>
      <c r="H2" s="101"/>
      <c r="I2" s="101"/>
    </row>
    <row r="3" spans="3:9" ht="12.75">
      <c r="C3" s="84" t="s">
        <v>56</v>
      </c>
      <c r="D3" s="84"/>
      <c r="E3" s="84"/>
      <c r="F3" s="84"/>
      <c r="G3" s="84"/>
      <c r="H3" s="84"/>
      <c r="I3" s="84" t="s">
        <v>46</v>
      </c>
    </row>
    <row r="4" spans="3:9" ht="12.75">
      <c r="C4" s="84"/>
      <c r="D4" s="84"/>
      <c r="E4" s="84"/>
      <c r="F4" s="84"/>
      <c r="G4" s="84"/>
      <c r="H4" s="84"/>
      <c r="I4" s="84"/>
    </row>
    <row r="5" spans="3:9" ht="25.5">
      <c r="C5" s="84"/>
      <c r="D5" s="90" t="str">
        <f>'HME 80 W'!B3</f>
        <v>HME 80 W</v>
      </c>
      <c r="E5" s="90" t="str">
        <f>'CPO 45 W'!B3</f>
        <v>CPO 45 W </v>
      </c>
      <c r="F5" s="91" t="str">
        <f>'HST 50 W '!B3</f>
        <v>HST 50 W Doppelbrenner</v>
      </c>
      <c r="G5" s="91" t="str">
        <f>'LED 34 W'!B3</f>
        <v>LED 34 W Leuchte</v>
      </c>
      <c r="H5" s="84"/>
      <c r="I5" s="84"/>
    </row>
    <row r="6" spans="3:9" ht="12.75">
      <c r="C6" s="84" t="str">
        <f>'HME 80 W'!B3</f>
        <v>HME 80 W</v>
      </c>
      <c r="D6" s="89"/>
      <c r="E6" s="85">
        <f>'HME 80 W'!S32-'CPO 45 W'!S32</f>
        <v>2030.2531620800637</v>
      </c>
      <c r="F6" s="85">
        <f>'HME 80 W'!S32-'HST 50 W '!S32</f>
        <v>2741.180548451767</v>
      </c>
      <c r="G6" s="85">
        <f>'HME 80 W'!S32-'LED 34 W'!S32</f>
        <v>1828.036528472221</v>
      </c>
      <c r="H6" s="84"/>
      <c r="I6" s="86">
        <f>'HME 80 W'!S32</f>
        <v>9344.76985547496</v>
      </c>
    </row>
    <row r="7" spans="3:9" ht="12.75">
      <c r="C7" s="84" t="str">
        <f>'CPO 45 W'!B3</f>
        <v>CPO 45 W </v>
      </c>
      <c r="D7" s="89"/>
      <c r="E7" s="89"/>
      <c r="F7" s="85">
        <f>'CPO 45 W'!S32-'HST 50 W '!S32</f>
        <v>710.9273863717035</v>
      </c>
      <c r="G7" s="85">
        <f>'CPO 45 W'!S32-'LED 34 W'!S32</f>
        <v>-202.2166336078426</v>
      </c>
      <c r="H7" s="84"/>
      <c r="I7" s="85">
        <f>'CPO 45 W'!S32</f>
        <v>7314.516693394897</v>
      </c>
    </row>
    <row r="8" spans="3:9" ht="12.75">
      <c r="C8" s="84" t="str">
        <f>'HST 50 W '!B3</f>
        <v>HST 50 W Doppelbrenner</v>
      </c>
      <c r="D8" s="89"/>
      <c r="E8" s="89"/>
      <c r="F8" s="89"/>
      <c r="G8" s="85">
        <f>'HST 50 W '!S32-'LED 34 W'!S32</f>
        <v>-913.1440199795461</v>
      </c>
      <c r="H8" s="84"/>
      <c r="I8" s="85">
        <f>'HST 50 W '!S32</f>
        <v>6603.589307023193</v>
      </c>
    </row>
    <row r="9" spans="3:9" ht="12.75">
      <c r="C9" s="84" t="str">
        <f>'LED 34 W'!B3</f>
        <v>LED 34 W Leuchte</v>
      </c>
      <c r="D9" s="89"/>
      <c r="E9" s="89"/>
      <c r="F9" s="89"/>
      <c r="G9" s="89"/>
      <c r="H9" s="84"/>
      <c r="I9" s="85">
        <f>'LED 34 W'!S32</f>
        <v>7516.733327002739</v>
      </c>
    </row>
    <row r="13" spans="3:9" ht="12.75">
      <c r="C13" s="87" t="s">
        <v>57</v>
      </c>
      <c r="D13" s="87"/>
      <c r="E13" s="87"/>
      <c r="F13" s="87"/>
      <c r="G13" s="87"/>
      <c r="H13" s="87"/>
      <c r="I13" s="87" t="s">
        <v>51</v>
      </c>
    </row>
    <row r="14" spans="3:9" ht="12.75">
      <c r="C14" s="87"/>
      <c r="D14" s="87"/>
      <c r="E14" s="87"/>
      <c r="F14" s="87"/>
      <c r="G14" s="87"/>
      <c r="H14" s="87"/>
      <c r="I14" s="87"/>
    </row>
    <row r="15" spans="3:9" ht="25.5">
      <c r="C15" s="87"/>
      <c r="D15" s="92" t="str">
        <f>'HME 80 W'!B3</f>
        <v>HME 80 W</v>
      </c>
      <c r="E15" s="92" t="str">
        <f>'CPO 45 W'!B3</f>
        <v>CPO 45 W </v>
      </c>
      <c r="F15" s="93" t="str">
        <f>'HST 50 W '!B3</f>
        <v>HST 50 W Doppelbrenner</v>
      </c>
      <c r="G15" s="93" t="str">
        <f>'LED 34 W'!B3</f>
        <v>LED 34 W Leuchte</v>
      </c>
      <c r="H15" s="87"/>
      <c r="I15" s="87"/>
    </row>
    <row r="16" spans="3:9" ht="12.75">
      <c r="C16" s="87" t="str">
        <f>'HME 80 W'!B3</f>
        <v>HME 80 W</v>
      </c>
      <c r="D16" s="89"/>
      <c r="E16" s="88">
        <f>I16-I17</f>
        <v>28596</v>
      </c>
      <c r="F16" s="88">
        <f>I16-I18</f>
        <v>26328</v>
      </c>
      <c r="G16" s="88">
        <f>I16-I19</f>
        <v>34104</v>
      </c>
      <c r="H16" s="87"/>
      <c r="I16" s="88">
        <f>'HME 80 W'!W32</f>
        <v>45120</v>
      </c>
    </row>
    <row r="17" spans="3:9" ht="12.75">
      <c r="C17" s="87" t="str">
        <f>'CPO 45 W'!B3</f>
        <v>CPO 45 W </v>
      </c>
      <c r="D17" s="89"/>
      <c r="E17" s="89"/>
      <c r="F17" s="88">
        <f>I17-I18</f>
        <v>-2268</v>
      </c>
      <c r="G17" s="88">
        <f>I17-I19</f>
        <v>5508</v>
      </c>
      <c r="H17" s="87"/>
      <c r="I17" s="88">
        <f>'CPO 45 W'!W32</f>
        <v>16524</v>
      </c>
    </row>
    <row r="18" spans="3:9" ht="12.75">
      <c r="C18" s="87" t="str">
        <f>'HST 50 W '!B3</f>
        <v>HST 50 W Doppelbrenner</v>
      </c>
      <c r="D18" s="89"/>
      <c r="E18" s="89"/>
      <c r="F18" s="89"/>
      <c r="G18" s="88">
        <f>I18-I19</f>
        <v>7776</v>
      </c>
      <c r="H18" s="87"/>
      <c r="I18" s="88">
        <f>'HST 50 W '!W32</f>
        <v>18792</v>
      </c>
    </row>
    <row r="19" spans="3:9" ht="12.75">
      <c r="C19" s="87" t="str">
        <f>'LED 34 W'!B3</f>
        <v>LED 34 W Leuchte</v>
      </c>
      <c r="D19" s="89"/>
      <c r="E19" s="89"/>
      <c r="F19" s="89"/>
      <c r="G19" s="89"/>
      <c r="H19" s="87"/>
      <c r="I19" s="88">
        <f>'LED 34 W'!W32</f>
        <v>11016</v>
      </c>
    </row>
    <row r="23" spans="3:9" ht="12.75">
      <c r="C23" s="101" t="s">
        <v>53</v>
      </c>
      <c r="D23" s="101"/>
      <c r="E23" s="101"/>
      <c r="F23" s="101"/>
      <c r="G23" s="101"/>
      <c r="H23" s="101"/>
      <c r="I23" s="101"/>
    </row>
    <row r="24" spans="3:9" ht="12.75">
      <c r="C24" s="84" t="s">
        <v>56</v>
      </c>
      <c r="D24" s="84"/>
      <c r="E24" s="84"/>
      <c r="F24" s="84"/>
      <c r="G24" s="84"/>
      <c r="H24" s="84"/>
      <c r="I24" s="84" t="s">
        <v>46</v>
      </c>
    </row>
    <row r="25" spans="3:9" ht="12.75">
      <c r="C25" s="84"/>
      <c r="D25" s="84"/>
      <c r="E25" s="84"/>
      <c r="F25" s="84"/>
      <c r="G25" s="84"/>
      <c r="H25" s="84"/>
      <c r="I25" s="84"/>
    </row>
    <row r="26" spans="3:9" ht="25.5">
      <c r="C26" s="84"/>
      <c r="D26" s="90" t="str">
        <f>'HME 80 W'!B3</f>
        <v>HME 80 W</v>
      </c>
      <c r="E26" s="90" t="str">
        <f>'CPO 45 W'!B3</f>
        <v>CPO 45 W </v>
      </c>
      <c r="F26" s="91" t="str">
        <f>'HST 50 W '!B3</f>
        <v>HST 50 W Doppelbrenner</v>
      </c>
      <c r="G26" s="91" t="str">
        <f>'LED 34 W'!B3</f>
        <v>LED 34 W Leuchte</v>
      </c>
      <c r="H26" s="84"/>
      <c r="I26" s="84"/>
    </row>
    <row r="27" spans="3:9" ht="12.75">
      <c r="C27" s="84" t="str">
        <f>'HME 80 W'!B3</f>
        <v>HME 80 W</v>
      </c>
      <c r="D27" s="89"/>
      <c r="E27" s="85">
        <f>'HME 80 W'!S33-'CPO 45 W'!S33</f>
        <v>5811.258354663372</v>
      </c>
      <c r="F27" s="85">
        <f>'HME 80 W'!S33-'HST 50 W '!S33</f>
        <v>7750.369581793431</v>
      </c>
      <c r="G27" s="85">
        <f>'HME 80 W'!S33-'LED 34 W'!S33</f>
        <v>6623.8844636087815</v>
      </c>
      <c r="H27" s="84"/>
      <c r="I27" s="86">
        <f>'HME 80 W'!S33</f>
        <v>18772.91030931601</v>
      </c>
    </row>
    <row r="28" spans="3:9" ht="12.75">
      <c r="C28" s="84" t="str">
        <f>'CPO 45 W'!B3</f>
        <v>CPO 45 W </v>
      </c>
      <c r="D28" s="89"/>
      <c r="E28" s="89"/>
      <c r="F28" s="85">
        <f>'CPO 45 W'!S33-'HST 50 W '!S33</f>
        <v>1939.111227130059</v>
      </c>
      <c r="G28" s="85">
        <f>'CPO 45 W'!S33-'LED 34 W'!S33</f>
        <v>812.6261089454092</v>
      </c>
      <c r="H28" s="84"/>
      <c r="I28" s="85">
        <f>'CPO 45 W'!S33</f>
        <v>12961.651954652636</v>
      </c>
    </row>
    <row r="29" spans="3:9" ht="12.75">
      <c r="C29" s="84" t="str">
        <f>'HST 50 W '!B3</f>
        <v>HST 50 W Doppelbrenner</v>
      </c>
      <c r="D29" s="89"/>
      <c r="E29" s="89"/>
      <c r="F29" s="89"/>
      <c r="G29" s="85">
        <f>'HST 50 W '!S33-'LED 34 W'!S33</f>
        <v>-1126.4851181846498</v>
      </c>
      <c r="H29" s="84"/>
      <c r="I29" s="85">
        <f>'HST 50 W '!S33</f>
        <v>11022.540727522577</v>
      </c>
    </row>
    <row r="30" spans="3:9" ht="12.75">
      <c r="C30" s="84" t="str">
        <f>'LED 34 W'!B3</f>
        <v>LED 34 W Leuchte</v>
      </c>
      <c r="D30" s="89"/>
      <c r="E30" s="89"/>
      <c r="F30" s="89"/>
      <c r="G30" s="89"/>
      <c r="H30" s="84"/>
      <c r="I30" s="85">
        <f>'LED 34 W'!S33</f>
        <v>12149.025845707227</v>
      </c>
    </row>
    <row r="34" spans="3:9" ht="12.75">
      <c r="C34" s="87" t="s">
        <v>57</v>
      </c>
      <c r="D34" s="87"/>
      <c r="E34" s="87"/>
      <c r="F34" s="87"/>
      <c r="G34" s="87"/>
      <c r="H34" s="87"/>
      <c r="I34" s="87" t="s">
        <v>51</v>
      </c>
    </row>
    <row r="35" spans="3:9" ht="12.75">
      <c r="C35" s="87"/>
      <c r="D35" s="87"/>
      <c r="E35" s="87"/>
      <c r="F35" s="87"/>
      <c r="G35" s="87"/>
      <c r="H35" s="87"/>
      <c r="I35" s="87"/>
    </row>
    <row r="36" spans="3:9" ht="25.5">
      <c r="C36" s="87"/>
      <c r="D36" s="92" t="str">
        <f>'HME 80 W'!B3</f>
        <v>HME 80 W</v>
      </c>
      <c r="E36" s="92" t="str">
        <f>'CPO 45 W'!B3</f>
        <v>CPO 45 W </v>
      </c>
      <c r="F36" s="93" t="str">
        <f>'HST 50 W '!B3</f>
        <v>HST 50 W Doppelbrenner</v>
      </c>
      <c r="G36" s="93" t="str">
        <f>'LED 34 W'!B3</f>
        <v>LED 34 W Leuchte</v>
      </c>
      <c r="H36" s="87"/>
      <c r="I36" s="87"/>
    </row>
    <row r="37" spans="3:9" ht="12.75">
      <c r="C37" s="87" t="str">
        <f>'HME 80 W'!B3</f>
        <v>HME 80 W</v>
      </c>
      <c r="D37" s="89"/>
      <c r="E37" s="88">
        <f>I37-I38</f>
        <v>59575</v>
      </c>
      <c r="F37" s="88">
        <f>I37-I39</f>
        <v>54850</v>
      </c>
      <c r="G37" s="88">
        <f>I37-I40</f>
        <v>71050</v>
      </c>
      <c r="H37" s="87"/>
      <c r="I37" s="88">
        <f>'HME 80 W'!W33</f>
        <v>94000</v>
      </c>
    </row>
    <row r="38" spans="3:9" ht="12.75">
      <c r="C38" s="87" t="str">
        <f>'CPO 45 W'!B3</f>
        <v>CPO 45 W </v>
      </c>
      <c r="D38" s="89"/>
      <c r="E38" s="89"/>
      <c r="F38" s="88">
        <f>I38-I39</f>
        <v>-4725</v>
      </c>
      <c r="G38" s="88">
        <f>I38-I40</f>
        <v>11475</v>
      </c>
      <c r="H38" s="87"/>
      <c r="I38" s="88">
        <f>'CPO 45 W'!W33</f>
        <v>34425</v>
      </c>
    </row>
    <row r="39" spans="3:9" ht="12.75">
      <c r="C39" s="87" t="str">
        <f>'HST 50 W '!B3</f>
        <v>HST 50 W Doppelbrenner</v>
      </c>
      <c r="D39" s="89"/>
      <c r="E39" s="89"/>
      <c r="F39" s="89"/>
      <c r="G39" s="88">
        <f>I39-I40</f>
        <v>16200</v>
      </c>
      <c r="H39" s="87"/>
      <c r="I39" s="88">
        <f>'HST 50 W '!W33</f>
        <v>39150</v>
      </c>
    </row>
    <row r="40" spans="3:9" ht="12.75">
      <c r="C40" s="87" t="str">
        <f>'LED 34 W'!B3</f>
        <v>LED 34 W Leuchte</v>
      </c>
      <c r="D40" s="89"/>
      <c r="E40" s="89"/>
      <c r="F40" s="89"/>
      <c r="G40" s="89"/>
      <c r="H40" s="87"/>
      <c r="I40" s="88">
        <f>'LED 34 W'!W33</f>
        <v>22950</v>
      </c>
    </row>
  </sheetData>
  <sheetProtection/>
  <mergeCells count="2">
    <mergeCell ref="C23:I23"/>
    <mergeCell ref="C2:I2"/>
  </mergeCells>
  <conditionalFormatting sqref="I16:I19">
    <cfRule type="cellIs" priority="18" dxfId="3" operator="equal" stopIfTrue="1">
      <formula>MIN($I$16:$I$19)</formula>
    </cfRule>
  </conditionalFormatting>
  <conditionalFormatting sqref="I6:I9">
    <cfRule type="cellIs" priority="19" dxfId="3" operator="equal" stopIfTrue="1">
      <formula>MIN($I$6:$I$9)</formula>
    </cfRule>
  </conditionalFormatting>
  <conditionalFormatting sqref="D6:G9">
    <cfRule type="cellIs" priority="20" dxfId="1" operator="lessThan" stopIfTrue="1">
      <formula>0</formula>
    </cfRule>
  </conditionalFormatting>
  <conditionalFormatting sqref="I27:I30">
    <cfRule type="cellIs" priority="16" dxfId="3" operator="equal" stopIfTrue="1">
      <formula>MIN($I$27:$I$30)</formula>
    </cfRule>
  </conditionalFormatting>
  <conditionalFormatting sqref="I37:I40">
    <cfRule type="cellIs" priority="14" dxfId="3" operator="equal" stopIfTrue="1">
      <formula>MIN($I$37:$I$40)</formula>
    </cfRule>
  </conditionalFormatting>
  <conditionalFormatting sqref="D37:G40">
    <cfRule type="cellIs" priority="10" dxfId="1" operator="lessThan" stopIfTrue="1">
      <formula>0</formula>
    </cfRule>
  </conditionalFormatting>
  <conditionalFormatting sqref="D27:G30">
    <cfRule type="cellIs" priority="6" dxfId="1" operator="lessThan" stopIfTrue="1">
      <formula>0</formula>
    </cfRule>
  </conditionalFormatting>
  <conditionalFormatting sqref="D16:G19">
    <cfRule type="cellIs" priority="1" dxfId="0" operator="less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Nutzer</cp:lastModifiedBy>
  <dcterms:created xsi:type="dcterms:W3CDTF">2014-11-19T08:26:25Z</dcterms:created>
  <dcterms:modified xsi:type="dcterms:W3CDTF">2015-01-28T08:50:11Z</dcterms:modified>
  <cp:category/>
  <cp:version/>
  <cp:contentType/>
  <cp:contentStatus/>
</cp:coreProperties>
</file>